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G:\Shared\GCC File Re-Org Project\13. QOF IV\4. Marketing &amp; Presentations\"/>
    </mc:Choice>
  </mc:AlternateContent>
  <xr:revisionPtr revIDLastSave="0" documentId="8_{8673F7C0-F64D-4CF4-809B-25B1AB3A68C4}" xr6:coauthVersionLast="47" xr6:coauthVersionMax="47" xr10:uidLastSave="{00000000-0000-0000-0000-000000000000}"/>
  <workbookProtection workbookAlgorithmName="SHA-512" workbookHashValue="aoMzEgq0RV8dgYIQRhjqG+KkwPy7UjDNdj77oStGQk2d+EpV/RUcSTxOVlDiFWTs/R68PhuJdCM25oddmitHMw==" workbookSaltValue="FTbjPrqki+grwFzE0NRCYg==" workbookSpinCount="100000" lockStructure="1"/>
  <bookViews>
    <workbookView xWindow="28680" yWindow="-120" windowWidth="29040" windowHeight="15720" firstSheet="1" activeTab="2" xr2:uid="{9EAECF7B-1A7C-4351-96AB-FAA66F6614F6}"/>
  </bookViews>
  <sheets>
    <sheet name="Mark" sheetId="1" state="hidden" r:id="rId1"/>
    <sheet name="Assumptions and Instructions" sheetId="6" r:id="rId2"/>
    <sheet name="Investment Analysis" sheetId="3" r:id="rId3"/>
    <sheet name="State Capital Gains Tax Rates" sheetId="4" state="hidden" r:id="rId4"/>
    <sheet name="KAS Version" sheetId="2" state="hidden" r:id="rId5"/>
  </sheets>
  <definedNames>
    <definedName name="_xlnm._FilterDatabase" localSheetId="3" hidden="1">'State Capital Gains Tax Rates'!$D$4:$H$55</definedName>
    <definedName name="_xlnm.Print_Area" localSheetId="1">'Assumptions and Instructions'!$A$1:$D$23</definedName>
    <definedName name="_xlnm.Print_Area" localSheetId="2">'Investment Analysis'!$A$1:$G$55</definedName>
    <definedName name="_xlnm.Print_Area" localSheetId="4">'KAS Version'!$A$1:$L$44</definedName>
    <definedName name="_xlnm.Print_Area" localSheetId="3">'State Capital Gains Tax Rates'!$A$1:$H$56</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9" i="3" l="1"/>
  <c r="E69" i="3"/>
  <c r="D69" i="3"/>
  <c r="E14" i="3" l="1"/>
  <c r="E13" i="3" a="1"/>
  <c r="E13" i="3" s="1"/>
  <c r="D21" i="3"/>
  <c r="B51" i="3"/>
  <c r="B50" i="3"/>
  <c r="E16" i="3" l="1"/>
  <c r="C64" i="3"/>
  <c r="C65" i="3" s="1"/>
  <c r="C66" i="3" s="1"/>
  <c r="C67" i="3" s="1"/>
  <c r="C68" i="3" s="1"/>
  <c r="C69" i="3" s="1"/>
  <c r="C70" i="3" s="1"/>
  <c r="C71" i="3" s="1"/>
  <c r="C72" i="3" s="1"/>
  <c r="C73" i="3" s="1"/>
  <c r="C74" i="3" s="1"/>
  <c r="D28" i="3"/>
  <c r="E28" i="3" s="1"/>
  <c r="E12" i="3"/>
  <c r="E20" i="3"/>
  <c r="E25" i="3"/>
  <c r="E21" i="3"/>
  <c r="E26" i="3" s="1"/>
  <c r="E62" i="3"/>
  <c r="B4" i="1"/>
  <c r="B3" i="1"/>
  <c r="B2" i="1"/>
  <c r="D72" i="3"/>
  <c r="B23" i="1"/>
  <c r="E72" i="3"/>
  <c r="B52" i="2"/>
  <c r="L8" i="2"/>
  <c r="J51" i="2"/>
  <c r="C45" i="2"/>
  <c r="D45" i="2"/>
  <c r="E45" i="2"/>
  <c r="F45" i="2"/>
  <c r="G45" i="2"/>
  <c r="H45" i="2"/>
  <c r="I45" i="2"/>
  <c r="J45" i="2"/>
  <c r="K45" i="2"/>
  <c r="L45" i="2"/>
  <c r="B31" i="2"/>
  <c r="L53" i="2"/>
  <c r="F37" i="2"/>
  <c r="F38" i="2"/>
  <c r="E37" i="2"/>
  <c r="E38" i="2"/>
  <c r="D37" i="2"/>
  <c r="D38" i="2"/>
  <c r="C37" i="2"/>
  <c r="C38" i="2"/>
  <c r="F24" i="2"/>
  <c r="F25" i="2"/>
  <c r="E24" i="2"/>
  <c r="E25" i="2"/>
  <c r="D24" i="2"/>
  <c r="D25" i="2"/>
  <c r="C24" i="2"/>
  <c r="C25" i="2"/>
  <c r="B18" i="2"/>
  <c r="B21" i="2"/>
  <c r="B25" i="2"/>
  <c r="C15" i="2"/>
  <c r="D15" i="2"/>
  <c r="E15" i="2"/>
  <c r="F15" i="2"/>
  <c r="G15" i="2"/>
  <c r="H15" i="2"/>
  <c r="I15" i="2"/>
  <c r="J15" i="2"/>
  <c r="K15" i="2"/>
  <c r="L15" i="2"/>
  <c r="B8" i="1"/>
  <c r="B54" i="2"/>
  <c r="L10" i="2"/>
  <c r="B19" i="2"/>
  <c r="B33" i="2"/>
  <c r="B24" i="1"/>
  <c r="D35" i="1"/>
  <c r="D36" i="1"/>
  <c r="D37" i="1"/>
  <c r="D38" i="1"/>
  <c r="D39" i="1"/>
  <c r="B34" i="1"/>
  <c r="B35" i="1"/>
  <c r="B36" i="1"/>
  <c r="B37" i="1"/>
  <c r="B38" i="1"/>
  <c r="B39" i="1"/>
  <c r="B40" i="1"/>
  <c r="B41" i="1"/>
  <c r="B42" i="1"/>
  <c r="B43" i="1"/>
  <c r="B17" i="1"/>
  <c r="B18" i="1"/>
  <c r="B19" i="1"/>
  <c r="B6" i="1"/>
  <c r="L34" i="2"/>
  <c r="L22" i="2"/>
  <c r="L23" i="2"/>
  <c r="B7" i="1"/>
  <c r="B20" i="2"/>
  <c r="C49" i="2"/>
  <c r="D40" i="1"/>
  <c r="D44" i="1"/>
  <c r="K34" i="2"/>
  <c r="G34" i="2"/>
  <c r="J34" i="2"/>
  <c r="I34" i="2"/>
  <c r="H34" i="2"/>
  <c r="H37" i="2"/>
  <c r="H38" i="2"/>
  <c r="K21" i="2"/>
  <c r="K24" i="2"/>
  <c r="B38" i="2"/>
  <c r="B34" i="2"/>
  <c r="L36" i="2"/>
  <c r="B25" i="1"/>
  <c r="B27" i="1"/>
  <c r="B28" i="1"/>
  <c r="D49" i="2"/>
  <c r="E49" i="2"/>
  <c r="F49" i="2"/>
  <c r="G49" i="2"/>
  <c r="H49" i="2"/>
  <c r="H21" i="2"/>
  <c r="H24" i="2"/>
  <c r="H25" i="2"/>
  <c r="J21" i="2"/>
  <c r="J24" i="2"/>
  <c r="J25" i="2"/>
  <c r="G21" i="2"/>
  <c r="G24" i="2"/>
  <c r="G25" i="2"/>
  <c r="I21" i="2"/>
  <c r="I24" i="2"/>
  <c r="I25" i="2"/>
  <c r="B39" i="2"/>
  <c r="G7" i="2"/>
  <c r="J36" i="2"/>
  <c r="J37" i="2"/>
  <c r="G37" i="2"/>
  <c r="G38" i="2"/>
  <c r="I37" i="2"/>
  <c r="I38" i="2"/>
  <c r="K37" i="2"/>
  <c r="L37" i="2"/>
  <c r="L38" i="2"/>
  <c r="K38" i="2"/>
  <c r="K25" i="2"/>
  <c r="L24" i="2"/>
  <c r="L21" i="2"/>
  <c r="B26" i="2"/>
  <c r="F7" i="2"/>
  <c r="H7" i="2"/>
  <c r="J38" i="2"/>
  <c r="B41" i="2"/>
  <c r="G9" i="2"/>
  <c r="H9" i="2"/>
  <c r="H10" i="2"/>
  <c r="J49" i="2"/>
  <c r="I49" i="2"/>
  <c r="B28" i="2"/>
  <c r="F9" i="2"/>
  <c r="B27" i="2"/>
  <c r="F8" i="2"/>
  <c r="L25" i="2"/>
  <c r="B40" i="2"/>
  <c r="G8" i="2"/>
  <c r="H8" i="2"/>
  <c r="B50" i="2"/>
  <c r="B13" i="1"/>
  <c r="B55" i="2"/>
  <c r="L7" i="2"/>
  <c r="L11" i="2"/>
  <c r="B57" i="2"/>
  <c r="L13" i="2"/>
  <c r="B56" i="2"/>
  <c r="L12" i="2"/>
  <c r="E79" i="3" l="1"/>
  <c r="E70" i="3"/>
  <c r="E23" i="3"/>
  <c r="E68" i="3" s="1"/>
  <c r="D23" i="3"/>
  <c r="D63" i="3"/>
  <c r="E34" i="3"/>
  <c r="D29" i="3"/>
  <c r="D64" i="3"/>
  <c r="D34" i="3"/>
  <c r="E29" i="3"/>
  <c r="E30" i="3" s="1"/>
  <c r="D67" i="3" l="1"/>
  <c r="D68" i="3"/>
  <c r="E66" i="3"/>
  <c r="E67" i="3"/>
  <c r="E35" i="3"/>
  <c r="E36" i="3"/>
  <c r="D30" i="3"/>
  <c r="D31" i="3" s="1"/>
  <c r="D78" i="3" s="1"/>
  <c r="D66" i="3"/>
  <c r="E64" i="3"/>
  <c r="E63" i="3"/>
  <c r="D35" i="3"/>
  <c r="D65" i="3"/>
  <c r="E65" i="3"/>
  <c r="D76" i="3" l="1"/>
  <c r="D77" i="3"/>
  <c r="E37" i="3"/>
  <c r="D73" i="3"/>
  <c r="D36" i="3"/>
  <c r="D37" i="3" s="1"/>
  <c r="D74" i="3"/>
  <c r="D75" i="3"/>
  <c r="E31" i="3"/>
  <c r="E78" i="3" s="1"/>
  <c r="D61" i="3" l="1"/>
  <c r="E40" i="3" s="1"/>
  <c r="E76" i="3"/>
  <c r="E77" i="3"/>
  <c r="E39" i="3"/>
  <c r="E75" i="3"/>
  <c r="E73" i="3"/>
  <c r="E38" i="3"/>
  <c r="K36" i="3" s="1"/>
  <c r="E74" i="3"/>
  <c r="E61" i="3" l="1"/>
  <c r="E41" i="3" s="1"/>
  <c r="E42" i="3" s="1"/>
  <c r="I36"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<sst xmlns="http://schemas.openxmlformats.org/spreadsheetml/2006/main" count="323" uniqueCount="237">
  <si>
    <t>Capital Gains Rate</t>
  </si>
  <si>
    <t>Investment/Orig Capital Gain</t>
  </si>
  <si>
    <t>Gain</t>
  </si>
  <si>
    <t>Reduction in Original Capital Gain 5th yr</t>
  </si>
  <si>
    <t>Reduction in Original Capital Gain 7th yr</t>
  </si>
  <si>
    <t>Yr 2</t>
  </si>
  <si>
    <t>Yr 3</t>
  </si>
  <si>
    <t>Yr 4</t>
  </si>
  <si>
    <t>Yr 5</t>
  </si>
  <si>
    <t>Yr 6</t>
  </si>
  <si>
    <t>Yr 7</t>
  </si>
  <si>
    <t>Yr 8</t>
  </si>
  <si>
    <t>Yr 9</t>
  </si>
  <si>
    <t>Yr 10</t>
  </si>
  <si>
    <t>Value of FMV Step up @20%</t>
  </si>
  <si>
    <t>FMV  Step upon liquidation Tax elimination</t>
  </si>
  <si>
    <t>Initial Deferral Benefit</t>
  </si>
  <si>
    <t>End Value of QOZ Investment</t>
  </si>
  <si>
    <t xml:space="preserve">Total Tax Gain Reduction </t>
  </si>
  <si>
    <t>Deferral Benefit of $200K taxes paid in yr 7 verses yr 1</t>
  </si>
  <si>
    <t>Reduction In Original Capital Gain</t>
  </si>
  <si>
    <t>Presume Liquidation Value</t>
  </si>
  <si>
    <t>Value of FMV Step up:</t>
  </si>
  <si>
    <t>Basis</t>
  </si>
  <si>
    <t xml:space="preserve">Value of Initial Deferral </t>
  </si>
  <si>
    <t>Option 1:</t>
  </si>
  <si>
    <t xml:space="preserve">   1. Deferral</t>
  </si>
  <si>
    <t xml:space="preserve">   2.  Reduction</t>
  </si>
  <si>
    <t xml:space="preserve">   3.  Elimination</t>
  </si>
  <si>
    <t>GRIFFIN CAPITAL QUALIFIED OPPORTUNITY ZONE FUND, L.P.</t>
  </si>
  <si>
    <t>Realized Capital Gain</t>
  </si>
  <si>
    <t>Marginal Federal Tax Bracket</t>
  </si>
  <si>
    <t>Capital Gains Tax Rate</t>
  </si>
  <si>
    <t>Stabilized Development Yield</t>
  </si>
  <si>
    <t>Pro-Forma Internal Rate of Return</t>
  </si>
  <si>
    <t>Year 1</t>
  </si>
  <si>
    <t>Year 0</t>
  </si>
  <si>
    <t>Year 2</t>
  </si>
  <si>
    <t>Year 3</t>
  </si>
  <si>
    <t>Year 4</t>
  </si>
  <si>
    <t>Year 5</t>
  </si>
  <si>
    <t>Year 6</t>
  </si>
  <si>
    <t>Year 7</t>
  </si>
  <si>
    <t>Year 8</t>
  </si>
  <si>
    <t>Year 9</t>
  </si>
  <si>
    <t>Year 10</t>
  </si>
  <si>
    <t>Development Phase</t>
  </si>
  <si>
    <t>Initial Investment</t>
  </si>
  <si>
    <t>Capital Gains Tax</t>
  </si>
  <si>
    <t>Net Investment</t>
  </si>
  <si>
    <t>Lease-Up Phase</t>
  </si>
  <si>
    <t>Stabilization and Management Phase</t>
  </si>
  <si>
    <t>Disposition Proceeds</t>
  </si>
  <si>
    <t>Percent Dividend Shelter</t>
  </si>
  <si>
    <t xml:space="preserve">  Pre-Tax Internal Rate of Return</t>
  </si>
  <si>
    <t xml:space="preserve">  After-Tax Internal Rate of Return</t>
  </si>
  <si>
    <t>Ordinary Income Tax</t>
  </si>
  <si>
    <t>Pre-Tax Return</t>
  </si>
  <si>
    <t>After-Tax Return</t>
  </si>
  <si>
    <t>No QOZ Tax Benefit Scenario</t>
  </si>
  <si>
    <t>Comparative Benefits of Qualified Opportunity Zone Tax Benefits</t>
  </si>
  <si>
    <t>Capital Gains Basis Step-Up</t>
  </si>
  <si>
    <t xml:space="preserve">  Total After-Tax Cash Receipts</t>
  </si>
  <si>
    <t>With QOZ Tax Benefit Scenario</t>
  </si>
  <si>
    <t>100% FMV</t>
  </si>
  <si>
    <t>10% Basis Step Up</t>
  </si>
  <si>
    <t>Additional 5% Basis Step Up</t>
  </si>
  <si>
    <t>Five Year Hold</t>
  </si>
  <si>
    <t>Seven Year Hold</t>
  </si>
  <si>
    <t xml:space="preserve">   After Tax IRR</t>
  </si>
  <si>
    <t xml:space="preserve">  Total After Tax Distributions</t>
  </si>
  <si>
    <t>Assumptions</t>
  </si>
  <si>
    <t>No QOZ</t>
  </si>
  <si>
    <t>Tax Benefits</t>
  </si>
  <si>
    <t>With QOZ</t>
  </si>
  <si>
    <t xml:space="preserve">  Percentage Increase in After Tax Distributions</t>
  </si>
  <si>
    <t xml:space="preserve">   Pre Tax IRR</t>
  </si>
  <si>
    <t>Ten Year Hold</t>
  </si>
  <si>
    <t>Basis Step Up</t>
  </si>
  <si>
    <t>Net QOZ</t>
  </si>
  <si>
    <t>Three Elements of QOZ Tax Benefits</t>
  </si>
  <si>
    <t xml:space="preserve">  1. Deferral of Capital Gain</t>
  </si>
  <si>
    <t xml:space="preserve">  2. Interim Basis Step Up</t>
  </si>
  <si>
    <t>Tax Benefit</t>
  </si>
  <si>
    <t xml:space="preserve">  3. FMV Basis Step Up on Sale</t>
  </si>
  <si>
    <t xml:space="preserve">      - Capital Gains Tax Savings</t>
  </si>
  <si>
    <t>Reinvestment Rate</t>
  </si>
  <si>
    <t>Discount Rate (Inflation Proxy)</t>
  </si>
  <si>
    <t>Capital Gains Tax Deferral</t>
  </si>
  <si>
    <t xml:space="preserve">  Present Value</t>
  </si>
  <si>
    <t>15% Basis Step Up</t>
  </si>
  <si>
    <t>FMV Basis Step Up</t>
  </si>
  <si>
    <t>Total Present Value Savings</t>
  </si>
  <si>
    <t xml:space="preserve">  As a Percent of Original Capital Gain</t>
  </si>
  <si>
    <t xml:space="preserve">  As a Percent of Net Capital Gains</t>
  </si>
  <si>
    <t>Present Value of QOZ Tax Benefits</t>
  </si>
  <si>
    <t>Present Value</t>
  </si>
  <si>
    <t xml:space="preserve">  As % of $1 million Cap Gain</t>
  </si>
  <si>
    <t xml:space="preserve">  As % of $800k net Cap Gain</t>
  </si>
  <si>
    <t xml:space="preserve">  Total PV of Tax Benefits</t>
  </si>
  <si>
    <r>
      <rPr>
        <sz val="11"/>
        <color rgb="FFFF0000"/>
        <rFont val="Calibri"/>
        <family val="2"/>
      </rPr>
      <t>Present</t>
    </r>
    <r>
      <rPr>
        <sz val="11"/>
        <color theme="1"/>
        <rFont val="Arial"/>
        <family val="2"/>
        <scheme val="minor"/>
      </rPr>
      <t xml:space="preserve"> Value = Investment of Tax savings (20% of $1mm or $200k) for 7 add'l yrs  @7%</t>
    </r>
  </si>
  <si>
    <t>Step UP In Taxable Gain</t>
  </si>
  <si>
    <r>
      <t xml:space="preserve">Realized Gain on Sale </t>
    </r>
    <r>
      <rPr>
        <sz val="11"/>
        <color rgb="FFFF0000"/>
        <rFont val="Calibri"/>
        <family val="2"/>
      </rPr>
      <t>on Step Up</t>
    </r>
  </si>
  <si>
    <r>
      <t>Annual Appreciation Rate</t>
    </r>
    <r>
      <rPr>
        <sz val="11"/>
        <color rgb="FFFF0000"/>
        <rFont val="Calibri"/>
        <family val="2"/>
      </rPr>
      <t>/Yield</t>
    </r>
  </si>
  <si>
    <t>Taxes due</t>
  </si>
  <si>
    <t>Yes</t>
  </si>
  <si>
    <t>Investment Year</t>
  </si>
  <si>
    <t>Investment Duration prior to 12/31/26</t>
  </si>
  <si>
    <t xml:space="preserve">End of Deferral Period </t>
  </si>
  <si>
    <t>Future Value of Investment</t>
  </si>
  <si>
    <t>End of 10-Year Investment Period</t>
  </si>
  <si>
    <t>Net After Tax Sales Proceeds</t>
  </si>
  <si>
    <t xml:space="preserve">  Initial Capital Gain</t>
  </si>
  <si>
    <t xml:space="preserve">  Gain on Investment</t>
  </si>
  <si>
    <t xml:space="preserve">  Taxes Paid</t>
  </si>
  <si>
    <t xml:space="preserve">  Net After Tax Proceeds</t>
  </si>
  <si>
    <t>IRR Analysis</t>
  </si>
  <si>
    <t>QOF</t>
  </si>
  <si>
    <t>IRR</t>
  </si>
  <si>
    <t>Investment</t>
  </si>
  <si>
    <t>Net After-Tax Cash Benefit of QOF Investment</t>
  </si>
  <si>
    <t>Texas</t>
  </si>
  <si>
    <t>Summary of QOF Tax Benefit Differential</t>
  </si>
  <si>
    <t xml:space="preserve">  Relative Increase in Distributable After-Tax Cash</t>
  </si>
  <si>
    <t>State</t>
  </si>
  <si>
    <t>Conforming</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</si>
  <si>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</si>
  <si>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</si>
  <si>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</si>
  <si>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</si>
  <si>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</si>
  <si>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</si>
  <si>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</si>
  <si>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</si>
  <si>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</si>
  <si>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</si>
  <si>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</si>
  <si>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</si>
  <si>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</si>
  <si>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</si>
  <si>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</si>
  <si>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</si>
  <si>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</si>
  <si>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</si>
  <si>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</si>
  <si>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</si>
  <si>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</si>
  <si>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</si>
  <si>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</si>
  <si>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</si>
  <si>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</si>
  <si>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</si>
  <si>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</si>
  <si>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</si>
  <si>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</si>
  <si>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</si>
  <si>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</si>
  <si>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</si>
  <si>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</si>
  <si>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</si>
  <si>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</si>
  <si>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</si>
  <si>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</si>
  <si>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</si>
  <si>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</si>
  <si>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</si>
  <si>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</si>
  <si>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</si>
  <si>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Utah</t>
  </si>
  <si>
    <t>Vermont</t>
  </si>
  <si>
    <t>Virginia</t>
  </si>
  <si>
    <t>Washington</t>
  </si>
  <si>
    <t>West Virginia</t>
  </si>
  <si>
    <t>Wisconsin</t>
  </si>
  <si>
    <t>Wyoming</t>
  </si>
  <si>
    <t>No</t>
  </si>
  <si>
    <t xml:space="preserve">This illustration does not represent any particular QOF investment. </t>
  </si>
  <si>
    <t>Input Instructions</t>
  </si>
  <si>
    <t>There are only five cells in the Investment Analysis that require inputs from the user:</t>
  </si>
  <si>
    <t>Input the Capital Gain realized and intended to be invested by the investor</t>
  </si>
  <si>
    <t>THIS MATERIAL DOES NOT CONSTITUTE TAX ADVICE TO ANY PERSON. A PERSON MUST CONSULT WITH HIS OR HER OWN TAX ADVISORS REGARDING THE TAX CONSEQUENCES TO THEM OF ACQUIRING AND OWNING ANY QOF INVESTMENT.</t>
  </si>
  <si>
    <t xml:space="preserve">THE INFORMATION CONTAINED IN THIS MATERIAL, ARE NOT REPRESENTATIVE OF ANY SPECIFIC PROPERTY OR OPPORTUNITY.  THE CALCULATIONS HEREIN REMAIN SUBJECT TO CHANGE AS APPLICABLE BASED UPON SUBSEQUENT REGULATORY GUIDANCE ISSUED UNDER SUBCHAPTER Z OF THE INTERNAL REVENUE CODE AND OTHER REGULATORY OR TAX RELATED CHANGES. </t>
  </si>
  <si>
    <t>Internal Rate of Return Calculations</t>
  </si>
  <si>
    <t>Capital Gains Taxes Payable in 2027</t>
  </si>
  <si>
    <t>Cell E8</t>
  </si>
  <si>
    <t>Qualified Opportunity Zone Fund Investing</t>
  </si>
  <si>
    <t>ASSUMPTIONS &amp; INSTRUCTIONS</t>
  </si>
  <si>
    <t>Capital Gain Tax Paid on Realized Gain</t>
  </si>
  <si>
    <t>Private Placement</t>
  </si>
  <si>
    <t>Non-QOF</t>
  </si>
  <si>
    <t>QOF AFTER-TAX COMPARATIVE BENEFIT</t>
  </si>
  <si>
    <t>Non-QOF Private Placement Investment After-Tax IRR</t>
  </si>
  <si>
    <t xml:space="preserve">  QOF After-Tax IRR</t>
  </si>
  <si>
    <r>
      <t xml:space="preserve">Private Placement </t>
    </r>
    <r>
      <rPr>
        <b/>
        <u/>
        <sz val="11"/>
        <color theme="1"/>
        <rFont val="Arial (Body)"/>
      </rPr>
      <t>After-Tax</t>
    </r>
  </si>
  <si>
    <r>
      <t xml:space="preserve">QOF
</t>
    </r>
    <r>
      <rPr>
        <b/>
        <u/>
        <sz val="11"/>
        <color theme="1"/>
        <rFont val="Arial (Body)"/>
      </rPr>
      <t>After-Tax</t>
    </r>
  </si>
  <si>
    <t>Both the Non-QOF Private Placement Investment and the QOF Investment are liquidated immediately upon the expiration of the 10-year holding period, which is the minimum holding period for the investor to achieve the 100% fair market value basis step-up on a QOF Investment.</t>
  </si>
  <si>
    <t>There are no intervening distributions for either investment over the 10-year holding period.</t>
  </si>
  <si>
    <t xml:space="preserve">Any taxes payable with respect to the initial year of investment and, in the case of the QOF Investment, as of December 31, 2026 are paid with additional capital, which therefore increases the total cash outlay of the respective analysis. </t>
  </si>
  <si>
    <t>In addition to the financial assumptions included in the table in the Investment Analysis tab, the model includes other certain basic assumptions intended to isolate the specific tax benefits available through an investment in a Qualified Opportunity Zone Fund ("QOF") as a result of Subchapter Z of the Internal Revenue Code. Such assumptions include the following:</t>
  </si>
  <si>
    <t>Input the pro-forma annual internal rate of return expectation for a QOF Investment and a Non-QOF Private Placement Investment</t>
  </si>
  <si>
    <t>Select the State in which the investor resides</t>
  </si>
  <si>
    <t>Select the Year in which the investment is made</t>
  </si>
  <si>
    <t>However, there are no guarantees there will be a positive IRR in any investment.</t>
  </si>
  <si>
    <t>Realized Capital Gain for Investment</t>
  </si>
  <si>
    <t>Washington, D.C.</t>
  </si>
  <si>
    <t>QOF (IRR)**</t>
  </si>
  <si>
    <t xml:space="preserve">THIS IS NEITHER AN OFFER TO SELL NOR A SOLICITATION OF AN OFFER TO BUY ANY SECURITIES. AN OFFERING IS MADE ONLY BY A PRIVATE PLACEMENT MEMORANDUM. A COPY OF A PRIVATE PLACEMENT MEMORANDUM MUST BE MADE AVAILABLE TO YOU IN CONNECTION WITH AN OFFERING. </t>
  </si>
  <si>
    <t>LT Cap Gains Rate</t>
  </si>
  <si>
    <t>Taxpayer Subject to Net Investment Income Surtax?</t>
  </si>
  <si>
    <t>Cell D20</t>
  </si>
  <si>
    <t>Cell E15</t>
  </si>
  <si>
    <t>Cell D10</t>
  </si>
  <si>
    <t>Select whether Capital Gain realized and intended to be invested is subject to the Net Investment Income Surtax of 3.8%</t>
  </si>
  <si>
    <t>The pro-forma return objective in cells E15 and E16 of the Investment Analysis tab represent a pre-tax annual internal rate of return and such return is the same for the Non-QOF Private Placement Investment and the QOF Investment</t>
  </si>
  <si>
    <t>Cell D13</t>
  </si>
  <si>
    <t>Taxpayer's State(1)</t>
  </si>
  <si>
    <t>Conforming State Legislation?(2)</t>
  </si>
  <si>
    <t>Non-QOF Private Placement Investment (IRR)(3)</t>
  </si>
  <si>
    <t>Net After-Tax IRR Benefit of QOF Investment(4)</t>
  </si>
  <si>
    <t>(4) Represents the difference between the after-tax internal rate of return of the Non-QOF Private Placement Investment and the QOF Investment.</t>
  </si>
  <si>
    <t xml:space="preserve">Qualified Opportunity Zone Fund ("QOF") Investing	</t>
  </si>
  <si>
    <t>Hypothetical Illustration for Educational Purposes</t>
  </si>
  <si>
    <t>(3) Represents the pre-tax internal rate of return of the investment over a 10 year holding period. Holding the investment for 10 years is when we believe an investor will receive the highest benefit of the QOZ. If held for less than 10 years, the benefits could be materially less than depicted.</t>
  </si>
  <si>
    <t>(2) *Federal and state tax rates and indication of states that conform to the federal QOZ provisions are applicable to personal tax liabilities only.  Taxes in local jurisdictions city, municipals, county or other, have not been accounted for. In addition, depending on how an investor files personal taxes (head of household, etc) and if the investor files the Alternative Minimum Tax, the actual taxes will differ from the amount calculated. Please note that in regards to state tax liabilities, some states conform to the federal QOZ provisions with respect to personal income but do not conform with respect to corporate income, or vice versa.  Please consult your tax advisor.</t>
  </si>
  <si>
    <t>Tax Rates</t>
  </si>
  <si>
    <t>https://www.nasinvestmentsolutions.com/1031-exchange-information/tax-rates-by-state</t>
  </si>
  <si>
    <t>https://smartasset.com/taxes/state-capital-gains-tax</t>
  </si>
  <si>
    <t>Sources</t>
  </si>
  <si>
    <t>https://taxfoundation.org/data/all/state/state-capital-gains-tax-rates-2024/#:~:text=(i)%20Minnesota's%2010.85%20percent%20top,investment%20income%20exceeding%20%241%20million.</t>
  </si>
  <si>
    <t>https://taxfoundation.org/data/all/state/state-income-tax-rates-2024/</t>
  </si>
  <si>
    <t>Arkansas taxes capital gains at ordinary tax rates. Long-term capital gains are taxed up to 50%, whereas short-term capital gains are taxed at 100%.</t>
  </si>
  <si>
    <t>The state taxes capital gains as income (allowing a deduction of 40% of capital gains income or $1,000, whichever is higher) and the rate reaches 5.9%</t>
  </si>
  <si>
    <t>South Carolina's long-term Capital Gains Tax Rate is 7% of your gain. That being said, 44% of the capital gain is exempt. In other words, you're actually paying 3.92% of your realized gain to South Carolina.</t>
  </si>
  <si>
    <t>Notes</t>
  </si>
  <si>
    <t>30% deduction for capital gains</t>
  </si>
  <si>
    <t xml:space="preserve">Material variations exist and the calculator may show your benefit as higher or lower than you will experience. This hypothetical illustration is based on the assumptions listed to show the potential tax benefits of investing in a QOF investment. The tax rates and returns used in the assumptions of this example may vary greatly and should not be construed as any results you would achieve in a QOF investment. This information should not be construed as tax advice. Investors should consult their own tax advisors to determine their individual risks and potential benefits in a QOF investment. The illustration assumes that each investment earns a pre-tax annually-compounded rate of return of 9%, which would be an unlikely occurence in regularity and the high rate of return, net of all fees and expenses, and that any required taxes due in 2023 or 2026 is paid with additional capital from the hypothetical investor. QOZ investments entail various risks and limitations that investors should consider carefully before investing. Additional information regarding the calculations, risks and limitations related to this illustration will be provided promptly upon request.
(1) Tax rates shown are applicable to capital gains only, assume a single filer and are net of any generally allowed deductions for capital gains under the applicable state tax code. This illustration assumes hypothetical Washington state capital gains are eligible for a $250,000 deduction under Washington state tax code. </t>
  </si>
  <si>
    <t>North Dakota has a 2024 state capital gains tax rate of 2.5%. Capital gains in North Dakota are taxed as income. However, the state generally excludes (allows a deduction for) 40% of capital gains from taxable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</si>
</sst>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_);[Red]\(0\)"/>
    <numFmt numFmtId="167" formatCode="&quot;$&quot;#,##0"/>
    <numFmt numFmtId="169" formatCode="_(&quot;$&quot;* #,##0.000_);_(&quot;$&quot;* \(#,##0.000\);_(&quot;$&quot;* &quot;-&quot;???_);_(@_)"/>
  </numFmts>
  <fonts count="44">
    <font>
      <sz val="11"/>
      <color theme="1"/>
      <name val="Arial"/>
      <family val="2"/>
      <scheme val="minor"/>
    </font>
    <font>
      <sz val="11"/>
      <color theme="1"/>
      <name val="Arial"/>
      <family val="2"/>
      <scheme val="minor"/>
    </font>
    <font>
      <sz val="11"/>
      <color rgb="FF3F3F76"/>
      <name val="Arial"/>
      <family val="2"/>
      <scheme val="minor"/>
    </font>
    <font>
      <b/>
      <sz val="11"/>
      <color theme="1"/>
      <name val="Arial"/>
      <family val="2"/>
      <scheme val="minor"/>
    </font>
    <font>
      <sz val="11"/>
      <name val="Arial"/>
      <family val="2"/>
      <scheme val="minor"/>
    </font>
    <font>
      <sz val="11"/>
      <color theme="1"/>
      <name val="Times New Roman"/>
      <family val="1"/>
    </font>
    <font>
      <sz val="11"/>
      <color rgb="FF0000FF"/>
      <name val="Times New Roman"/>
      <family val="1"/>
    </font>
    <font>
      <b/>
      <sz val="11"/>
      <color theme="1"/>
      <name val="Times New Roman"/>
      <family val="1"/>
    </font>
    <font>
      <b/>
      <u val="singleAccounting"/>
      <sz val="11"/>
      <color theme="1"/>
      <name val="Times New Roman"/>
      <family val="1"/>
    </font>
    <font>
      <b/>
      <i/>
      <sz val="11"/>
      <color theme="1"/>
      <name val="Times New Roman"/>
      <family val="1"/>
    </font>
    <font>
      <u val="singleAccounting"/>
      <sz val="11"/>
      <color theme="1"/>
      <name val="Times New Roman"/>
      <family val="1"/>
    </font>
    <font>
      <b/>
      <i/>
      <u val="singleAccounting"/>
      <sz val="11"/>
      <color theme="1"/>
      <name val="Times New Roman"/>
      <family val="1"/>
    </font>
    <font>
      <b/>
      <sz val="18"/>
      <color theme="1"/>
      <name val="Times New Roman"/>
      <family val="1"/>
    </font>
    <font>
      <b/>
      <i/>
      <sz val="14"/>
      <color theme="1"/>
      <name val="Times New Roman"/>
      <family val="1"/>
    </font>
    <font>
      <i/>
      <sz val="11"/>
      <color theme="1"/>
      <name val="Times New Roman"/>
      <family val="1"/>
    </font>
    <font>
      <sz val="11"/>
      <name val="Times New Roman"/>
      <family val="1"/>
    </font>
    <font>
      <sz val="11"/>
      <color rgb="FFFF0000"/>
      <name val="Arial"/>
      <family val="2"/>
      <scheme val="minor"/>
    </font>
    <font>
      <sz val="11"/>
      <color rgb="FFFF0000"/>
      <name val="Calibri"/>
      <family val="2"/>
    </font>
    <font>
      <i/>
      <sz val="11"/>
      <color theme="1"/>
      <name val="Arial"/>
      <family val="2"/>
      <scheme val="minor"/>
    </font>
    <font>
      <b/>
      <i/>
      <sz val="11"/>
      <color theme="1"/>
      <name val="Arial"/>
      <family val="2"/>
      <scheme val="minor"/>
    </font>
    <font>
      <b/>
      <u/>
      <sz val="11"/>
      <color theme="1"/>
      <name val="Arial"/>
      <family val="2"/>
      <scheme val="minor"/>
    </font>
    <font>
      <u val="singleAccounting"/>
      <sz val="11"/>
      <color theme="1"/>
      <name val="Arial"/>
      <family val="2"/>
      <scheme val="minor"/>
    </font>
    <font>
      <i/>
      <sz val="11"/>
      <color rgb="FF0000FF"/>
      <name val="Arial"/>
      <family val="2"/>
      <scheme val="minor"/>
    </font>
    <font>
      <sz val="11"/>
      <color rgb="FF0000FF"/>
      <name val="Arial"/>
      <family val="2"/>
      <scheme val="minor"/>
    </font>
    <font>
      <sz val="11"/>
      <color rgb="FF555555"/>
      <name val="Arial"/>
      <family val="2"/>
    </font>
    <font>
      <b/>
      <sz val="12"/>
      <color rgb="FFC00000"/>
      <name val="Arial"/>
      <family val="2"/>
    </font>
    <font>
      <sz val="9"/>
      <color rgb="FF3F4450"/>
      <name val="Arial"/>
      <family val="2"/>
    </font>
    <font>
      <sz val="9"/>
      <color theme="1"/>
      <name val="Arial"/>
      <family val="2"/>
      <scheme val="minor"/>
    </font>
    <font>
      <sz val="20"/>
      <color theme="4"/>
      <name val="Arial"/>
      <family val="2"/>
      <scheme val="minor"/>
    </font>
    <font>
      <b/>
      <sz val="14"/>
      <color theme="1"/>
      <name val="Arial"/>
      <family val="2"/>
      <scheme val="minor"/>
    </font>
    <font>
      <b/>
      <sz val="11"/>
      <color theme="4"/>
      <name val="Arial"/>
      <family val="2"/>
      <scheme val="minor"/>
    </font>
    <font>
      <b/>
      <sz val="11"/>
      <color theme="0"/>
      <name val="Arial"/>
      <family val="2"/>
      <scheme val="minor"/>
    </font>
    <font>
      <b/>
      <sz val="9.5"/>
      <color rgb="FF3F4450"/>
      <name val="Arial"/>
      <family val="2"/>
    </font>
    <font>
      <sz val="11"/>
      <color theme="1"/>
      <name val="Arial"/>
      <family val="2"/>
    </font>
    <font>
      <b/>
      <u/>
      <sz val="11"/>
      <color theme="1"/>
      <name val="Arial (Body)"/>
    </font>
    <font>
      <b/>
      <sz val="12"/>
      <color theme="1"/>
      <name val="Arial"/>
      <family val="2"/>
      <scheme val="minor"/>
    </font>
    <font>
      <b/>
      <sz val="9.5"/>
      <color theme="1"/>
      <name val="Arial"/>
      <family val="2"/>
    </font>
    <font>
      <b/>
      <sz val="12"/>
      <color theme="4"/>
      <name val="Arial"/>
      <family val="2"/>
      <scheme val="minor"/>
    </font>
    <font>
      <b/>
      <u val="singleAccounting"/>
      <sz val="11"/>
      <color theme="0"/>
      <name val="Arial"/>
      <family val="2"/>
      <scheme val="minor"/>
    </font>
    <font>
      <u/>
      <sz val="11"/>
      <color theme="10"/>
      <name val="Arial"/>
      <family val="2"/>
      <scheme val="minor"/>
    </font>
    <font>
      <sz val="11"/>
      <color theme="0"/>
      <name val="Arial"/>
      <family val="2"/>
      <scheme val="minor"/>
    </font>
    <font>
      <b/>
      <i/>
      <sz val="11"/>
      <color rgb="FF0000FF"/>
      <name val="Arial"/>
      <family val="2"/>
      <scheme val="minor"/>
    </font>
    <font>
      <sz val="9"/>
      <name val="Arial"/>
      <family val="2"/>
      <scheme val="minor"/>
    </font>
    <font>
      <b/>
      <sz val="11"/>
      <name val="Arial"/>
      <family val="2"/>
      <scheme val="minor"/>
    </font>
  </fonts>
  <fills count="7">
    <fill>
      <patternFill patternType="none"/>
    </fill>
    <fill>
      <patternFill patternType="gray125"/>
    </fill>
    <fill>
      <patternFill patternType="solid">
        <fgColor rgb="FFFFCC99"/>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s>
  <borders count="33">
    <border>
      <left/>
      <right/>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medium">
        <color indexed="64"/>
      </left>
      <right/>
      <top style="thin">
        <color theme="1"/>
      </top>
      <bottom/>
      <diagonal/>
    </border>
    <border>
      <left/>
      <right style="medium">
        <color indexed="64"/>
      </right>
      <top style="thin">
        <color theme="1"/>
      </top>
      <bottom/>
      <diagonal/>
    </border>
    <border>
      <left/>
      <right style="thin">
        <color theme="1"/>
      </right>
      <top/>
      <bottom style="thin">
        <color indexed="64"/>
      </bottom>
      <diagonal/>
    </border>
  </borders>
  <cellStyleXfs count="6">
    <xf numFmtId="0" fontId="0" fillId="0" borderId="0"/>
    <xf numFmtId="9" fontId="1" fillId="0" borderId="0" applyFont="0" applyFill="0" applyBorder="0" applyAlignment="0" applyProtection="0"/>
    <xf numFmtId="0" fontId="2" fillId="2" borderId="1"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39" fillId="0" borderId="0" applyNumberFormat="0" applyFill="0" applyBorder="0" applyAlignment="0" applyProtection="0"/>
  </cellStyleXfs>
  <cellXfs count="254">
    <xf numFmtId="0" fontId="0" fillId="0" borderId="0" xfId="0"/>
    <xf numFmtId="3" fontId="0" fillId="0" borderId="0" xfId="0" applyNumberFormat="1"/>
    <xf numFmtId="9" fontId="0" fillId="0" borderId="0" xfId="1" applyFont="1"/>
    <xf numFmtId="3" fontId="0" fillId="0" borderId="0" xfId="1" applyNumberFormat="1" applyFont="1"/>
    <xf numFmtId="38" fontId="0" fillId="0" borderId="0" xfId="0" applyNumberFormat="1"/>
    <xf numFmtId="8" fontId="0" fillId="0" borderId="0" xfId="0" applyNumberFormat="1"/>
    <xf numFmtId="3" fontId="3" fillId="0" borderId="0" xfId="0" applyNumberFormat="1" applyFont="1"/>
    <xf numFmtId="3" fontId="0" fillId="0" borderId="0" xfId="0" applyNumberFormat="1" applyAlignment="1">
      <alignment horizontal="center" wrapText="1"/>
    </xf>
    <xf numFmtId="38" fontId="3" fillId="0" borderId="0" xfId="0" applyNumberFormat="1" applyFont="1"/>
    <xf numFmtId="3" fontId="0" fillId="3" borderId="0" xfId="0" applyNumberFormat="1" applyFill="1"/>
    <xf numFmtId="38" fontId="0" fillId="3" borderId="3" xfId="0" applyNumberFormat="1" applyFill="1" applyBorder="1"/>
    <xf numFmtId="0" fontId="0" fillId="3" borderId="3" xfId="0" applyFill="1" applyBorder="1"/>
    <xf numFmtId="0" fontId="0" fillId="3" borderId="0" xfId="0" applyFill="1"/>
    <xf numFmtId="0" fontId="0" fillId="4" borderId="0" xfId="0" applyFill="1"/>
    <xf numFmtId="3" fontId="0" fillId="4" borderId="0" xfId="0" applyNumberFormat="1" applyFill="1"/>
    <xf numFmtId="0" fontId="0" fillId="3" borderId="4" xfId="0" applyFill="1" applyBorder="1"/>
    <xf numFmtId="3" fontId="0" fillId="3" borderId="5" xfId="0" applyNumberFormat="1" applyFill="1" applyBorder="1" applyAlignment="1">
      <alignment horizontal="center"/>
    </xf>
    <xf numFmtId="3" fontId="0" fillId="3" borderId="6" xfId="0" applyNumberFormat="1" applyFill="1" applyBorder="1" applyAlignment="1">
      <alignment wrapText="1"/>
    </xf>
    <xf numFmtId="0" fontId="0" fillId="3" borderId="7" xfId="0" applyFill="1" applyBorder="1"/>
    <xf numFmtId="38" fontId="0" fillId="3" borderId="0" xfId="0" applyNumberFormat="1" applyFill="1"/>
    <xf numFmtId="3" fontId="0" fillId="3" borderId="8" xfId="0" applyNumberFormat="1" applyFill="1" applyBorder="1"/>
    <xf numFmtId="3" fontId="0" fillId="3" borderId="8" xfId="0" quotePrefix="1" applyNumberFormat="1" applyFill="1" applyBorder="1"/>
    <xf numFmtId="0" fontId="0" fillId="3" borderId="9" xfId="0" applyFill="1" applyBorder="1"/>
    <xf numFmtId="3" fontId="0" fillId="3" borderId="10" xfId="0" applyNumberFormat="1" applyFill="1" applyBorder="1"/>
    <xf numFmtId="3" fontId="0" fillId="3" borderId="5" xfId="0" applyNumberFormat="1" applyFill="1" applyBorder="1"/>
    <xf numFmtId="3" fontId="0" fillId="3" borderId="6" xfId="0" applyNumberFormat="1" applyFill="1" applyBorder="1"/>
    <xf numFmtId="0" fontId="3" fillId="3" borderId="7" xfId="0" applyFont="1" applyFill="1" applyBorder="1"/>
    <xf numFmtId="0" fontId="0" fillId="3" borderId="10" xfId="0" applyFill="1" applyBorder="1"/>
    <xf numFmtId="38" fontId="2" fillId="3" borderId="2" xfId="2" applyNumberFormat="1" applyFill="1" applyBorder="1"/>
    <xf numFmtId="0" fontId="0" fillId="3" borderId="7" xfId="0" applyFill="1" applyBorder="1" applyAlignment="1">
      <alignment horizontal="left"/>
    </xf>
    <xf numFmtId="0" fontId="0" fillId="3" borderId="8" xfId="0" applyFill="1" applyBorder="1"/>
    <xf numFmtId="3" fontId="0" fillId="3" borderId="9" xfId="0" applyNumberFormat="1" applyFill="1" applyBorder="1" applyAlignment="1">
      <alignment horizontal="left" wrapText="1"/>
    </xf>
    <xf numFmtId="3" fontId="4" fillId="3" borderId="3" xfId="2" applyNumberFormat="1" applyFont="1" applyFill="1" applyBorder="1"/>
    <xf numFmtId="3" fontId="0" fillId="3" borderId="10" xfId="0" quotePrefix="1" applyNumberFormat="1" applyFill="1" applyBorder="1"/>
    <xf numFmtId="38" fontId="2" fillId="3" borderId="11" xfId="2" applyNumberFormat="1" applyFill="1" applyBorder="1"/>
    <xf numFmtId="38" fontId="0" fillId="3" borderId="2" xfId="0" applyNumberFormat="1" applyFill="1" applyBorder="1"/>
    <xf numFmtId="164" fontId="5" fillId="0" borderId="0" xfId="3" applyNumberFormat="1" applyFont="1"/>
    <xf numFmtId="10" fontId="5" fillId="0" borderId="0" xfId="1" applyNumberFormat="1" applyFont="1"/>
    <xf numFmtId="164" fontId="6" fillId="0" borderId="0" xfId="3" applyNumberFormat="1" applyFont="1"/>
    <xf numFmtId="10" fontId="6" fillId="0" borderId="0" xfId="1" applyNumberFormat="1" applyFont="1"/>
    <xf numFmtId="164" fontId="7" fillId="0" borderId="0" xfId="3" applyNumberFormat="1" applyFont="1"/>
    <xf numFmtId="164" fontId="8" fillId="0" borderId="0" xfId="3" applyNumberFormat="1" applyFont="1" applyAlignment="1">
      <alignment horizontal="center"/>
    </xf>
    <xf numFmtId="0" fontId="9" fillId="0" borderId="0" xfId="3" applyNumberFormat="1" applyFont="1" applyAlignment="1">
      <alignment horizontal="center"/>
    </xf>
    <xf numFmtId="164" fontId="10" fillId="0" borderId="0" xfId="3" applyNumberFormat="1" applyFont="1"/>
    <xf numFmtId="164" fontId="9" fillId="0" borderId="0" xfId="3" applyNumberFormat="1" applyFont="1"/>
    <xf numFmtId="164" fontId="11" fillId="0" borderId="0" xfId="3" applyNumberFormat="1" applyFont="1"/>
    <xf numFmtId="164" fontId="5" fillId="0" borderId="0" xfId="3" applyNumberFormat="1" applyFont="1" applyAlignment="1"/>
    <xf numFmtId="164" fontId="5" fillId="0" borderId="12" xfId="3" applyNumberFormat="1" applyFont="1" applyBorder="1"/>
    <xf numFmtId="164" fontId="5" fillId="0" borderId="14" xfId="3" applyNumberFormat="1" applyFont="1" applyBorder="1"/>
    <xf numFmtId="164" fontId="5" fillId="0" borderId="15" xfId="3" applyNumberFormat="1" applyFont="1" applyBorder="1"/>
    <xf numFmtId="164" fontId="7" fillId="0" borderId="16" xfId="3" applyNumberFormat="1" applyFont="1" applyBorder="1"/>
    <xf numFmtId="10" fontId="7" fillId="0" borderId="17" xfId="1" applyNumberFormat="1" applyFont="1" applyBorder="1"/>
    <xf numFmtId="10" fontId="7" fillId="0" borderId="0" xfId="1" applyNumberFormat="1" applyFont="1"/>
    <xf numFmtId="164" fontId="14" fillId="0" borderId="0" xfId="3" applyNumberFormat="1" applyFont="1" applyAlignment="1">
      <alignment horizontal="center"/>
    </xf>
    <xf numFmtId="164" fontId="14" fillId="0" borderId="0" xfId="3" applyNumberFormat="1" applyFont="1"/>
    <xf numFmtId="164" fontId="5" fillId="0" borderId="0" xfId="3" applyNumberFormat="1" applyFont="1" applyBorder="1"/>
    <xf numFmtId="164" fontId="7" fillId="0" borderId="0" xfId="3" applyNumberFormat="1" applyFont="1" applyBorder="1"/>
    <xf numFmtId="10" fontId="7" fillId="0" borderId="0" xfId="1" applyNumberFormat="1" applyFont="1" applyBorder="1"/>
    <xf numFmtId="164" fontId="5" fillId="0" borderId="18" xfId="3" applyNumberFormat="1" applyFont="1" applyBorder="1"/>
    <xf numFmtId="164" fontId="7" fillId="0" borderId="18" xfId="3" applyNumberFormat="1" applyFont="1" applyBorder="1" applyAlignment="1">
      <alignment horizontal="center"/>
    </xf>
    <xf numFmtId="164" fontId="7" fillId="0" borderId="13" xfId="3" applyNumberFormat="1" applyFont="1" applyBorder="1" applyAlignment="1">
      <alignment horizontal="center"/>
    </xf>
    <xf numFmtId="164" fontId="8" fillId="0" borderId="0" xfId="3" applyNumberFormat="1" applyFont="1" applyBorder="1" applyAlignment="1">
      <alignment horizontal="center"/>
    </xf>
    <xf numFmtId="164" fontId="8" fillId="0" borderId="15" xfId="3" applyNumberFormat="1" applyFont="1" applyBorder="1" applyAlignment="1">
      <alignment horizontal="center"/>
    </xf>
    <xf numFmtId="10" fontId="5" fillId="0" borderId="0" xfId="1" applyNumberFormat="1" applyFont="1" applyBorder="1"/>
    <xf numFmtId="10" fontId="5" fillId="0" borderId="15" xfId="1" applyNumberFormat="1" applyFont="1" applyBorder="1"/>
    <xf numFmtId="164" fontId="7" fillId="0" borderId="2" xfId="3" applyNumberFormat="1" applyFont="1" applyBorder="1"/>
    <xf numFmtId="165" fontId="6" fillId="0" borderId="0" xfId="4" applyNumberFormat="1" applyFont="1"/>
    <xf numFmtId="164" fontId="15" fillId="0" borderId="0" xfId="3" applyNumberFormat="1" applyFont="1"/>
    <xf numFmtId="164" fontId="5" fillId="0" borderId="16" xfId="3" applyNumberFormat="1" applyFont="1" applyBorder="1"/>
    <xf numFmtId="164" fontId="5" fillId="0" borderId="2" xfId="3" applyNumberFormat="1" applyFont="1" applyBorder="1"/>
    <xf numFmtId="164" fontId="5" fillId="0" borderId="17" xfId="3" applyNumberFormat="1" applyFont="1" applyBorder="1"/>
    <xf numFmtId="165" fontId="5" fillId="0" borderId="15" xfId="4" applyNumberFormat="1" applyFont="1" applyBorder="1"/>
    <xf numFmtId="0" fontId="9" fillId="0" borderId="18" xfId="3" applyNumberFormat="1" applyFont="1" applyBorder="1" applyAlignment="1">
      <alignment horizontal="center"/>
    </xf>
    <xf numFmtId="0" fontId="9" fillId="0" borderId="13" xfId="3" applyNumberFormat="1" applyFont="1" applyBorder="1" applyAlignment="1">
      <alignment horizontal="center"/>
    </xf>
    <xf numFmtId="164" fontId="8" fillId="0" borderId="14" xfId="3" applyNumberFormat="1" applyFont="1" applyBorder="1" applyAlignment="1">
      <alignment horizontal="center"/>
    </xf>
    <xf numFmtId="10" fontId="6" fillId="0" borderId="0" xfId="1" applyNumberFormat="1" applyFont="1" applyBorder="1"/>
    <xf numFmtId="164" fontId="10" fillId="0" borderId="0" xfId="3" applyNumberFormat="1" applyFont="1" applyBorder="1"/>
    <xf numFmtId="10" fontId="5" fillId="0" borderId="2" xfId="1" applyNumberFormat="1" applyFont="1" applyBorder="1"/>
    <xf numFmtId="164" fontId="10" fillId="0" borderId="15" xfId="3" applyNumberFormat="1" applyFont="1" applyBorder="1"/>
    <xf numFmtId="164" fontId="9" fillId="0" borderId="14" xfId="3" applyNumberFormat="1" applyFont="1" applyBorder="1"/>
    <xf numFmtId="164" fontId="9" fillId="0" borderId="0" xfId="3" applyNumberFormat="1" applyFont="1" applyBorder="1"/>
    <xf numFmtId="165" fontId="9" fillId="0" borderId="15" xfId="4" applyNumberFormat="1" applyFont="1" applyBorder="1"/>
    <xf numFmtId="10" fontId="5" fillId="0" borderId="17" xfId="1" applyNumberFormat="1" applyFont="1" applyBorder="1"/>
    <xf numFmtId="43" fontId="5" fillId="0" borderId="0" xfId="3" applyFont="1"/>
    <xf numFmtId="0" fontId="16" fillId="0" borderId="0" xfId="0" applyFont="1"/>
    <xf numFmtId="42" fontId="0" fillId="0" borderId="0" xfId="0" applyNumberFormat="1"/>
    <xf numFmtId="0" fontId="0" fillId="0" borderId="0" xfId="0" applyAlignment="1">
      <alignment wrapText="1"/>
    </xf>
    <xf numFmtId="0" fontId="27" fillId="0" borderId="0" xfId="0" applyFont="1"/>
    <xf numFmtId="0" fontId="27" fillId="0" borderId="0" xfId="0" applyFont="1" applyAlignment="1">
      <alignment horizontal="left"/>
    </xf>
    <xf numFmtId="0" fontId="0" fillId="5" borderId="0" xfId="0" applyFill="1"/>
    <xf numFmtId="164" fontId="0" fillId="5" borderId="0" xfId="3" applyNumberFormat="1" applyFont="1" applyFill="1" applyAlignment="1"/>
    <xf numFmtId="10" fontId="19" fillId="5" borderId="0" xfId="1" applyNumberFormat="1" applyFont="1" applyFill="1" applyBorder="1" applyAlignment="1"/>
    <xf numFmtId="0" fontId="0" fillId="0" borderId="0" xfId="0" applyAlignment="1">
      <alignment vertical="top" wrapText="1"/>
    </xf>
    <xf numFmtId="0" fontId="0" fillId="4" borderId="0" xfId="0" applyFill="1" applyAlignment="1">
      <alignment wrapText="1"/>
    </xf>
    <xf numFmtId="42" fontId="0" fillId="4" borderId="0" xfId="0" applyNumberFormat="1" applyFill="1" applyAlignment="1">
      <alignment wrapText="1"/>
    </xf>
    <xf numFmtId="0" fontId="3" fillId="4" borderId="0" xfId="0" applyFont="1" applyFill="1" applyAlignment="1">
      <alignment horizontal="center" vertical="top" wrapText="1"/>
    </xf>
    <xf numFmtId="0" fontId="0" fillId="4" borderId="0" xfId="0" applyFill="1" applyAlignment="1">
      <alignment vertical="top" wrapText="1"/>
    </xf>
    <xf numFmtId="0" fontId="30" fillId="4" borderId="0" xfId="0" applyFont="1" applyFill="1" applyAlignment="1">
      <alignment vertical="top"/>
    </xf>
    <xf numFmtId="42" fontId="0" fillId="4" borderId="0" xfId="0" applyNumberFormat="1" applyFill="1"/>
    <xf numFmtId="10" fontId="0" fillId="4" borderId="0" xfId="0" applyNumberFormat="1" applyFill="1"/>
    <xf numFmtId="6" fontId="3" fillId="4" borderId="0" xfId="0" applyNumberFormat="1" applyFont="1" applyFill="1" applyAlignment="1">
      <alignment horizontal="center"/>
    </xf>
    <xf numFmtId="0" fontId="3" fillId="4" borderId="0" xfId="0" applyFont="1" applyFill="1" applyAlignment="1">
      <alignment horizontal="center"/>
    </xf>
    <xf numFmtId="164" fontId="0" fillId="4" borderId="0" xfId="3" applyNumberFormat="1" applyFont="1" applyFill="1" applyAlignment="1"/>
    <xf numFmtId="165" fontId="0" fillId="4" borderId="0" xfId="4" applyNumberFormat="1" applyFont="1" applyFill="1" applyAlignment="1"/>
    <xf numFmtId="164" fontId="1" fillId="4" borderId="0" xfId="3" applyNumberFormat="1" applyFont="1" applyFill="1" applyBorder="1" applyAlignment="1"/>
    <xf numFmtId="164" fontId="21" fillId="4" borderId="0" xfId="0" applyNumberFormat="1" applyFont="1" applyFill="1"/>
    <xf numFmtId="0" fontId="3" fillId="4" borderId="0" xfId="0" applyFont="1" applyFill="1"/>
    <xf numFmtId="164" fontId="3" fillId="4" borderId="0" xfId="3" applyNumberFormat="1" applyFont="1" applyFill="1" applyBorder="1" applyAlignment="1"/>
    <xf numFmtId="10" fontId="0" fillId="4" borderId="0" xfId="1" applyNumberFormat="1" applyFont="1" applyFill="1" applyAlignment="1"/>
    <xf numFmtId="164" fontId="3" fillId="4" borderId="0" xfId="3" applyNumberFormat="1" applyFont="1" applyFill="1" applyAlignment="1"/>
    <xf numFmtId="0" fontId="27" fillId="4" borderId="0" xfId="0" applyFont="1" applyFill="1"/>
    <xf numFmtId="0" fontId="27" fillId="4" borderId="0" xfId="0" applyFont="1" applyFill="1" applyAlignment="1">
      <alignment horizontal="left"/>
    </xf>
    <xf numFmtId="164" fontId="1" fillId="4" borderId="0" xfId="3" applyNumberFormat="1" applyFont="1" applyFill="1" applyAlignment="1"/>
    <xf numFmtId="164" fontId="21" fillId="4" borderId="0" xfId="3" applyNumberFormat="1" applyFont="1" applyFill="1" applyBorder="1" applyAlignment="1"/>
    <xf numFmtId="165" fontId="1" fillId="4" borderId="0" xfId="4" applyNumberFormat="1" applyFont="1" applyFill="1" applyAlignment="1"/>
    <xf numFmtId="165" fontId="1" fillId="4" borderId="0" xfId="4" applyNumberFormat="1" applyFont="1" applyFill="1" applyBorder="1" applyAlignment="1"/>
    <xf numFmtId="164" fontId="1" fillId="4" borderId="0" xfId="0" applyNumberFormat="1" applyFont="1" applyFill="1"/>
    <xf numFmtId="0" fontId="0" fillId="4" borderId="0" xfId="0" applyFill="1" applyAlignment="1">
      <alignment vertical="top"/>
    </xf>
    <xf numFmtId="6" fontId="20" fillId="4" borderId="0" xfId="0" applyNumberFormat="1" applyFont="1" applyFill="1" applyAlignment="1">
      <alignment horizontal="center" vertical="top"/>
    </xf>
    <xf numFmtId="42" fontId="0" fillId="4" borderId="22" xfId="0" applyNumberFormat="1" applyFill="1" applyBorder="1" applyAlignment="1">
      <alignment horizontal="left"/>
    </xf>
    <xf numFmtId="10" fontId="0" fillId="4" borderId="23" xfId="0" applyNumberFormat="1" applyFill="1" applyBorder="1"/>
    <xf numFmtId="43" fontId="0" fillId="4" borderId="23" xfId="3" applyFont="1" applyFill="1" applyBorder="1" applyAlignment="1"/>
    <xf numFmtId="10" fontId="0" fillId="4" borderId="23" xfId="0" applyNumberFormat="1" applyFill="1" applyBorder="1" applyAlignment="1">
      <alignment horizontal="right"/>
    </xf>
    <xf numFmtId="42" fontId="0" fillId="4" borderId="24" xfId="0" applyNumberFormat="1" applyFill="1" applyBorder="1"/>
    <xf numFmtId="0" fontId="0" fillId="4" borderId="25" xfId="0" applyFill="1" applyBorder="1"/>
    <xf numFmtId="42" fontId="0" fillId="4" borderId="27" xfId="0" applyNumberFormat="1" applyFill="1" applyBorder="1" applyAlignment="1">
      <alignment horizontal="left"/>
    </xf>
    <xf numFmtId="0" fontId="0" fillId="4" borderId="28" xfId="0" applyFill="1" applyBorder="1"/>
    <xf numFmtId="165" fontId="1" fillId="4" borderId="28" xfId="4" applyNumberFormat="1" applyFont="1" applyFill="1" applyBorder="1" applyAlignment="1"/>
    <xf numFmtId="0" fontId="24" fillId="4" borderId="22" xfId="0" applyFont="1" applyFill="1" applyBorder="1"/>
    <xf numFmtId="0" fontId="0" fillId="4" borderId="23" xfId="0" applyFill="1" applyBorder="1" applyAlignment="1">
      <alignment horizontal="center"/>
    </xf>
    <xf numFmtId="0" fontId="0" fillId="4" borderId="26" xfId="0" applyFill="1" applyBorder="1" applyAlignment="1">
      <alignment horizontal="center"/>
    </xf>
    <xf numFmtId="0" fontId="31" fillId="6" borderId="27" xfId="0" applyFont="1" applyFill="1" applyBorder="1"/>
    <xf numFmtId="0" fontId="31" fillId="6" borderId="28" xfId="0" applyFont="1" applyFill="1" applyBorder="1" applyAlignment="1">
      <alignment horizontal="center"/>
    </xf>
    <xf numFmtId="0" fontId="31" fillId="6" borderId="29" xfId="0" applyFont="1" applyFill="1" applyBorder="1" applyAlignment="1">
      <alignment horizontal="center"/>
    </xf>
    <xf numFmtId="0" fontId="24" fillId="4" borderId="27" xfId="0" applyFont="1" applyFill="1" applyBorder="1"/>
    <xf numFmtId="0" fontId="0" fillId="4" borderId="29" xfId="0" applyFill="1" applyBorder="1" applyAlignment="1">
      <alignment horizontal="center"/>
    </xf>
    <xf numFmtId="0" fontId="3" fillId="4" borderId="0" xfId="0" applyFont="1" applyFill="1" applyAlignment="1">
      <alignment horizontal="left" wrapText="1"/>
    </xf>
    <xf numFmtId="0" fontId="3" fillId="4" borderId="0" xfId="0" applyFont="1" applyFill="1" applyAlignment="1">
      <alignment horizontal="left" vertical="top" wrapText="1"/>
    </xf>
    <xf numFmtId="165" fontId="0" fillId="0" borderId="0" xfId="0" applyNumberFormat="1"/>
    <xf numFmtId="10" fontId="18" fillId="4" borderId="0" xfId="0" applyNumberFormat="1" applyFont="1" applyFill="1"/>
    <xf numFmtId="42" fontId="33" fillId="4" borderId="22" xfId="0" applyNumberFormat="1" applyFont="1" applyFill="1" applyBorder="1" applyAlignment="1">
      <alignment horizontal="left"/>
    </xf>
    <xf numFmtId="164" fontId="1" fillId="4" borderId="0" xfId="3" applyNumberFormat="1" applyFont="1" applyFill="1" applyBorder="1" applyAlignment="1">
      <alignment horizontal="center"/>
    </xf>
    <xf numFmtId="164" fontId="0" fillId="4" borderId="30" xfId="3" applyNumberFormat="1" applyFont="1" applyFill="1" applyBorder="1" applyAlignment="1"/>
    <xf numFmtId="165" fontId="1" fillId="4" borderId="31" xfId="4" applyNumberFormat="1" applyFont="1" applyFill="1" applyBorder="1" applyAlignment="1"/>
    <xf numFmtId="164" fontId="0" fillId="4" borderId="7" xfId="3" applyNumberFormat="1" applyFont="1" applyFill="1" applyBorder="1" applyAlignment="1"/>
    <xf numFmtId="164" fontId="1" fillId="4" borderId="8" xfId="0" applyNumberFormat="1" applyFont="1" applyFill="1" applyBorder="1"/>
    <xf numFmtId="164" fontId="21" fillId="4" borderId="8" xfId="0" applyNumberFormat="1" applyFont="1" applyFill="1" applyBorder="1"/>
    <xf numFmtId="165" fontId="1" fillId="4" borderId="8" xfId="4" applyNumberFormat="1" applyFont="1" applyFill="1" applyBorder="1" applyAlignment="1"/>
    <xf numFmtId="164" fontId="3" fillId="4" borderId="7" xfId="3" applyNumberFormat="1" applyFont="1" applyFill="1" applyBorder="1" applyAlignment="1"/>
    <xf numFmtId="165" fontId="3" fillId="4" borderId="8" xfId="4" applyNumberFormat="1" applyFont="1" applyFill="1" applyBorder="1" applyAlignment="1"/>
    <xf numFmtId="164" fontId="19" fillId="4" borderId="7" xfId="3" applyNumberFormat="1" applyFont="1" applyFill="1" applyBorder="1" applyAlignment="1"/>
    <xf numFmtId="10" fontId="19" fillId="4" borderId="8" xfId="1" applyNumberFormat="1" applyFont="1" applyFill="1" applyBorder="1" applyAlignment="1"/>
    <xf numFmtId="10" fontId="1" fillId="4" borderId="8" xfId="1" applyNumberFormat="1" applyFont="1" applyFill="1" applyBorder="1" applyAlignment="1"/>
    <xf numFmtId="164" fontId="3" fillId="4" borderId="9" xfId="3" applyNumberFormat="1" applyFont="1" applyFill="1" applyBorder="1" applyAlignment="1"/>
    <xf numFmtId="164" fontId="3" fillId="4" borderId="3" xfId="3" applyNumberFormat="1" applyFont="1" applyFill="1" applyBorder="1" applyAlignment="1"/>
    <xf numFmtId="10" fontId="19" fillId="4" borderId="10" xfId="1" applyNumberFormat="1" applyFont="1" applyFill="1" applyBorder="1" applyAlignment="1"/>
    <xf numFmtId="10" fontId="0" fillId="0" borderId="0" xfId="0" applyNumberFormat="1"/>
    <xf numFmtId="0" fontId="23" fillId="4" borderId="0" xfId="0" applyFont="1" applyFill="1" applyProtection="1">
      <protection locked="0"/>
    </xf>
    <xf numFmtId="44" fontId="0" fillId="4" borderId="0" xfId="0" applyNumberFormat="1" applyFill="1"/>
    <xf numFmtId="0" fontId="38" fillId="6" borderId="27" xfId="0" applyFont="1" applyFill="1" applyBorder="1" applyAlignment="1">
      <alignment horizontal="centerContinuous"/>
    </xf>
    <xf numFmtId="0" fontId="22" fillId="4" borderId="0" xfId="0" applyFont="1" applyFill="1" applyProtection="1">
      <protection locked="0"/>
    </xf>
    <xf numFmtId="42" fontId="23" fillId="4" borderId="29" xfId="0" applyNumberFormat="1" applyFont="1" applyFill="1" applyBorder="1" applyProtection="1">
      <protection locked="0"/>
    </xf>
    <xf numFmtId="10" fontId="23" fillId="4" borderId="23" xfId="0" applyNumberFormat="1" applyFont="1" applyFill="1" applyBorder="1" applyProtection="1">
      <protection locked="0"/>
    </xf>
    <xf numFmtId="0" fontId="39" fillId="0" borderId="0" xfId="5"/>
    <xf numFmtId="0" fontId="24" fillId="4" borderId="24" xfId="0" applyFont="1" applyFill="1" applyBorder="1"/>
    <xf numFmtId="10" fontId="0" fillId="4" borderId="28" xfId="0" applyNumberFormat="1" applyFill="1" applyBorder="1" applyAlignment="1">
      <alignment horizontal="center"/>
    </xf>
    <xf numFmtId="10" fontId="0" fillId="0" borderId="0" xfId="0" applyNumberFormat="1" applyAlignment="1">
      <alignment horizontal="center"/>
    </xf>
    <xf numFmtId="10" fontId="0" fillId="0" borderId="25" xfId="0" applyNumberFormat="1" applyBorder="1" applyAlignment="1">
      <alignment horizontal="center"/>
    </xf>
    <xf numFmtId="0" fontId="0" fillId="5" borderId="2" xfId="0" applyFill="1" applyBorder="1"/>
    <xf numFmtId="164" fontId="0" fillId="5" borderId="0" xfId="3" applyNumberFormat="1" applyFont="1" applyFill="1" applyBorder="1" applyAlignment="1"/>
    <xf numFmtId="0" fontId="25" fillId="4" borderId="14" xfId="0" applyFont="1" applyFill="1" applyBorder="1" applyAlignment="1">
      <alignment vertical="center" wrapText="1"/>
    </xf>
    <xf numFmtId="0" fontId="0" fillId="4" borderId="15" xfId="0" applyFill="1" applyBorder="1"/>
    <xf numFmtId="0" fontId="19" fillId="4" borderId="0" xfId="3" applyNumberFormat="1" applyFont="1" applyFill="1" applyAlignment="1">
      <alignment horizontal="center"/>
    </xf>
    <xf numFmtId="166" fontId="41" fillId="4" borderId="0" xfId="0" applyNumberFormat="1" applyFont="1" applyFill="1" applyAlignment="1" applyProtection="1">
      <alignment horizontal="center"/>
      <protection locked="0"/>
    </xf>
    <xf numFmtId="166" fontId="19" fillId="4" borderId="0" xfId="0" applyNumberFormat="1" applyFont="1" applyFill="1" applyAlignment="1">
      <alignment horizontal="center"/>
    </xf>
    <xf numFmtId="0" fontId="19" fillId="4" borderId="0" xfId="0" applyFont="1" applyFill="1"/>
    <xf numFmtId="164" fontId="19" fillId="4" borderId="0" xfId="3" applyNumberFormat="1" applyFont="1" applyFill="1" applyAlignment="1"/>
    <xf numFmtId="10" fontId="0" fillId="4" borderId="32" xfId="0" applyNumberFormat="1" applyFill="1" applyBorder="1"/>
    <xf numFmtId="10" fontId="0" fillId="4" borderId="0" xfId="1" applyNumberFormat="1" applyFont="1" applyFill="1" applyBorder="1"/>
    <xf numFmtId="43" fontId="0" fillId="4" borderId="0" xfId="3" applyFont="1" applyFill="1" applyBorder="1"/>
    <xf numFmtId="0" fontId="40" fillId="4" borderId="0" xfId="0" applyFont="1" applyFill="1"/>
    <xf numFmtId="10" fontId="0" fillId="4" borderId="0" xfId="3" applyNumberFormat="1" applyFont="1" applyFill="1" applyBorder="1"/>
    <xf numFmtId="10" fontId="1" fillId="4" borderId="12" xfId="1" applyNumberFormat="1" applyFont="1" applyFill="1" applyBorder="1"/>
    <xf numFmtId="10" fontId="1" fillId="4" borderId="14" xfId="1" applyNumberFormat="1" applyFont="1" applyFill="1" applyBorder="1"/>
    <xf numFmtId="0" fontId="1" fillId="4" borderId="16" xfId="0" applyFont="1" applyFill="1" applyBorder="1"/>
    <xf numFmtId="43" fontId="1" fillId="4" borderId="18" xfId="3" applyFont="1" applyFill="1" applyBorder="1" applyAlignment="1">
      <alignment horizontal="left"/>
    </xf>
    <xf numFmtId="0" fontId="1" fillId="4" borderId="18" xfId="0" applyFont="1" applyFill="1" applyBorder="1" applyAlignment="1">
      <alignment horizontal="left"/>
    </xf>
    <xf numFmtId="0" fontId="1" fillId="4" borderId="13" xfId="0" applyFont="1" applyFill="1" applyBorder="1" applyAlignment="1">
      <alignment horizontal="left"/>
    </xf>
    <xf numFmtId="43" fontId="1" fillId="4" borderId="0" xfId="3" applyFont="1" applyFill="1" applyBorder="1" applyAlignment="1">
      <alignment horizontal="left"/>
    </xf>
    <xf numFmtId="0" fontId="1" fillId="4" borderId="0" xfId="0" applyFont="1" applyFill="1" applyAlignment="1">
      <alignment horizontal="left"/>
    </xf>
    <xf numFmtId="0" fontId="1" fillId="4" borderId="15" xfId="0" applyFont="1" applyFill="1" applyBorder="1" applyAlignment="1">
      <alignment horizontal="left"/>
    </xf>
    <xf numFmtId="0" fontId="4" fillId="4" borderId="2" xfId="0" applyFont="1" applyFill="1" applyBorder="1" applyAlignment="1">
      <alignment horizontal="left"/>
    </xf>
    <xf numFmtId="0" fontId="1" fillId="4" borderId="2" xfId="0" applyFont="1" applyFill="1" applyBorder="1" applyAlignment="1">
      <alignment horizontal="left"/>
    </xf>
    <xf numFmtId="0" fontId="1" fillId="4" borderId="17" xfId="0" applyFont="1" applyFill="1" applyBorder="1" applyAlignment="1">
      <alignment horizontal="left"/>
    </xf>
    <xf numFmtId="0" fontId="28" fillId="4" borderId="0" xfId="0" applyFont="1" applyFill="1" applyAlignment="1">
      <alignment horizontal="center" wrapText="1"/>
    </xf>
    <xf numFmtId="0" fontId="29" fillId="4" borderId="0" xfId="0" applyFont="1" applyFill="1" applyAlignment="1">
      <alignment horizontal="center" wrapText="1"/>
    </xf>
    <xf numFmtId="0" fontId="35" fillId="4" borderId="0" xfId="0" applyFont="1" applyFill="1" applyAlignment="1">
      <alignment horizontal="left" vertical="top" wrapText="1"/>
    </xf>
    <xf numFmtId="0" fontId="0" fillId="4" borderId="0" xfId="0" applyFill="1" applyAlignment="1">
      <alignment horizontal="left" vertical="top" wrapText="1"/>
    </xf>
    <xf numFmtId="0" fontId="26" fillId="4" borderId="14" xfId="0" applyFont="1" applyFill="1" applyBorder="1" applyAlignment="1">
      <alignment horizontal="left" wrapText="1"/>
    </xf>
    <xf numFmtId="0" fontId="26" fillId="4" borderId="0" xfId="0" applyFont="1" applyFill="1" applyAlignment="1">
      <alignment horizontal="left" wrapText="1"/>
    </xf>
    <xf numFmtId="0" fontId="26" fillId="4" borderId="15" xfId="0" applyFont="1" applyFill="1" applyBorder="1" applyAlignment="1">
      <alignment horizontal="left" wrapText="1"/>
    </xf>
    <xf numFmtId="0" fontId="32" fillId="4" borderId="14" xfId="0" applyFont="1" applyFill="1" applyBorder="1" applyAlignment="1">
      <alignment horizontal="left" wrapText="1"/>
    </xf>
    <xf numFmtId="0" fontId="32" fillId="4" borderId="0" xfId="0" applyFont="1" applyFill="1" applyAlignment="1">
      <alignment horizontal="left" wrapText="1"/>
    </xf>
    <xf numFmtId="0" fontId="32" fillId="4" borderId="15" xfId="0" applyFont="1" applyFill="1" applyBorder="1" applyAlignment="1">
      <alignment horizontal="left" wrapText="1"/>
    </xf>
    <xf numFmtId="0" fontId="37" fillId="4" borderId="0" xfId="0" applyFont="1" applyFill="1" applyAlignment="1">
      <alignment horizontal="center" vertical="center"/>
    </xf>
    <xf numFmtId="0" fontId="32" fillId="4" borderId="14" xfId="0" applyFont="1" applyFill="1" applyBorder="1" applyAlignment="1">
      <alignment horizontal="left" vertical="center" wrapText="1"/>
    </xf>
    <xf numFmtId="0" fontId="32" fillId="4" borderId="0" xfId="0" applyFont="1" applyFill="1" applyAlignment="1">
      <alignment horizontal="left" vertical="center" wrapText="1"/>
    </xf>
    <xf numFmtId="0" fontId="32" fillId="4" borderId="15" xfId="0" applyFont="1" applyFill="1" applyBorder="1" applyAlignment="1">
      <alignment horizontal="left" vertical="center" wrapText="1"/>
    </xf>
    <xf numFmtId="164" fontId="31" fillId="6" borderId="4" xfId="3" applyNumberFormat="1" applyFont="1" applyFill="1" applyBorder="1" applyAlignment="1">
      <alignment horizontal="center" vertical="center"/>
    </xf>
    <xf numFmtId="164" fontId="31" fillId="6" borderId="5" xfId="3" applyNumberFormat="1" applyFont="1" applyFill="1" applyBorder="1" applyAlignment="1">
      <alignment horizontal="center" vertical="center"/>
    </xf>
    <xf numFmtId="164" fontId="31" fillId="6" borderId="6" xfId="3" applyNumberFormat="1" applyFont="1" applyFill="1" applyBorder="1" applyAlignment="1">
      <alignment horizontal="center" vertical="center"/>
    </xf>
    <xf numFmtId="0" fontId="29" fillId="4" borderId="0" xfId="0" applyFont="1" applyFill="1" applyAlignment="1">
      <alignment horizontal="center"/>
    </xf>
    <xf numFmtId="0" fontId="31" fillId="6" borderId="27" xfId="0" applyFont="1" applyFill="1" applyBorder="1" applyAlignment="1">
      <alignment horizontal="center" vertical="center"/>
    </xf>
    <xf numFmtId="0" fontId="31" fillId="6" borderId="28" xfId="0" applyFont="1" applyFill="1" applyBorder="1" applyAlignment="1">
      <alignment horizontal="center" vertical="center"/>
    </xf>
    <xf numFmtId="0" fontId="31" fillId="6" borderId="29" xfId="0" applyFont="1" applyFill="1" applyBorder="1" applyAlignment="1">
      <alignment horizontal="center" vertical="center"/>
    </xf>
    <xf numFmtId="0" fontId="25" fillId="4" borderId="12" xfId="0" applyFont="1" applyFill="1" applyBorder="1" applyAlignment="1">
      <alignment horizontal="center" vertical="center" wrapText="1"/>
    </xf>
    <xf numFmtId="0" fontId="25" fillId="4" borderId="18" xfId="0" applyFont="1" applyFill="1" applyBorder="1" applyAlignment="1">
      <alignment horizontal="center" vertical="center" wrapText="1"/>
    </xf>
    <xf numFmtId="0" fontId="25" fillId="4" borderId="13" xfId="0" applyFont="1" applyFill="1" applyBorder="1" applyAlignment="1">
      <alignment horizontal="center" vertical="center" wrapText="1"/>
    </xf>
    <xf numFmtId="0" fontId="26" fillId="4" borderId="16" xfId="0" applyFont="1" applyFill="1" applyBorder="1" applyAlignment="1">
      <alignment horizontal="left" wrapText="1"/>
    </xf>
    <xf numFmtId="0" fontId="26" fillId="4" borderId="2" xfId="0" applyFont="1" applyFill="1" applyBorder="1" applyAlignment="1">
      <alignment horizontal="left" wrapText="1"/>
    </xf>
    <xf numFmtId="0" fontId="26" fillId="4" borderId="17" xfId="0" applyFont="1" applyFill="1" applyBorder="1" applyAlignment="1">
      <alignment horizontal="left" wrapText="1"/>
    </xf>
    <xf numFmtId="0" fontId="19" fillId="5" borderId="0" xfId="0" applyFont="1" applyFill="1" applyAlignment="1">
      <alignment horizontal="center"/>
    </xf>
    <xf numFmtId="0" fontId="36" fillId="4" borderId="14" xfId="0" applyFont="1" applyFill="1" applyBorder="1" applyAlignment="1">
      <alignment horizontal="left" wrapText="1"/>
    </xf>
    <xf numFmtId="0" fontId="36" fillId="4" borderId="0" xfId="0" applyFont="1" applyFill="1" applyAlignment="1">
      <alignment horizontal="left" wrapText="1"/>
    </xf>
    <xf numFmtId="0" fontId="36" fillId="4" borderId="15" xfId="0" applyFont="1" applyFill="1" applyBorder="1" applyAlignment="1">
      <alignment horizontal="left" wrapText="1"/>
    </xf>
    <xf numFmtId="0" fontId="4" fillId="4" borderId="0" xfId="5" applyFont="1" applyFill="1" applyBorder="1" applyAlignment="1">
      <alignment horizontal="left"/>
    </xf>
    <xf numFmtId="0" fontId="4" fillId="4" borderId="15" xfId="5" applyFont="1" applyFill="1" applyBorder="1" applyAlignment="1">
      <alignment horizontal="left"/>
    </xf>
    <xf numFmtId="164" fontId="14" fillId="0" borderId="0" xfId="3" applyNumberFormat="1" applyFont="1" applyAlignment="1">
      <alignment horizontal="center"/>
    </xf>
    <xf numFmtId="164" fontId="5" fillId="0" borderId="0" xfId="3" applyNumberFormat="1" applyFont="1" applyBorder="1" applyAlignment="1">
      <alignment horizontal="center"/>
    </xf>
    <xf numFmtId="164" fontId="5" fillId="0" borderId="0" xfId="3" applyNumberFormat="1" applyFont="1" applyAlignment="1">
      <alignment horizontal="center"/>
    </xf>
    <xf numFmtId="164" fontId="12" fillId="0" borderId="0" xfId="3" applyNumberFormat="1" applyFont="1" applyAlignment="1">
      <alignment horizontal="center"/>
    </xf>
    <xf numFmtId="164" fontId="13" fillId="0" borderId="0" xfId="3" applyNumberFormat="1" applyFont="1" applyAlignment="1">
      <alignment horizontal="center"/>
    </xf>
    <xf numFmtId="164" fontId="8" fillId="0" borderId="14" xfId="3" applyNumberFormat="1" applyFont="1" applyBorder="1" applyAlignment="1">
      <alignment horizontal="center"/>
    </xf>
    <xf numFmtId="164" fontId="8" fillId="0" borderId="0" xfId="3" applyNumberFormat="1" applyFont="1" applyBorder="1" applyAlignment="1">
      <alignment horizontal="center"/>
    </xf>
    <xf numFmtId="164" fontId="9" fillId="0" borderId="19" xfId="3" applyNumberFormat="1" applyFont="1" applyBorder="1" applyAlignment="1">
      <alignment horizontal="center"/>
    </xf>
    <xf numFmtId="164" fontId="9" fillId="0" borderId="20" xfId="3" applyNumberFormat="1" applyFont="1" applyBorder="1" applyAlignment="1">
      <alignment horizontal="center"/>
    </xf>
    <xf numFmtId="164" fontId="9" fillId="0" borderId="21" xfId="3" applyNumberFormat="1" applyFont="1" applyBorder="1" applyAlignment="1">
      <alignment horizontal="center"/>
    </xf>
    <xf numFmtId="0" fontId="0" fillId="5" borderId="0" xfId="0" applyFill="1" applyBorder="1"/>
    <xf numFmtId="0" fontId="19" fillId="5" borderId="0" xfId="0" applyFont="1" applyFill="1" applyBorder="1" applyAlignment="1">
      <alignment horizontal="center"/>
    </xf>
    <xf numFmtId="0" fontId="3" fillId="5" borderId="0" xfId="0" applyFont="1" applyFill="1" applyBorder="1" applyAlignment="1">
      <alignment horizontal="center"/>
    </xf>
    <xf numFmtId="0" fontId="3" fillId="5" borderId="0" xfId="0" applyFont="1" applyFill="1" applyBorder="1" applyAlignment="1">
      <alignment horizontal="center" wrapText="1"/>
    </xf>
    <xf numFmtId="0" fontId="19" fillId="5" borderId="0" xfId="0" applyFont="1" applyFill="1" applyBorder="1" applyAlignment="1">
      <alignment horizontal="right"/>
    </xf>
    <xf numFmtId="164" fontId="0" fillId="5" borderId="0" xfId="0" applyNumberFormat="1" applyFill="1" applyBorder="1"/>
    <xf numFmtId="0" fontId="4" fillId="4" borderId="0" xfId="0" applyFont="1" applyFill="1"/>
    <xf numFmtId="0" fontId="4" fillId="0" borderId="0" xfId="0" applyFont="1"/>
    <xf numFmtId="165" fontId="4" fillId="0" borderId="0" xfId="0" applyNumberFormat="1" applyFont="1"/>
    <xf numFmtId="10" fontId="4" fillId="0" borderId="0" xfId="0" applyNumberFormat="1" applyFont="1"/>
    <xf numFmtId="44" fontId="4" fillId="0" borderId="0" xfId="0" applyNumberFormat="1" applyFont="1"/>
    <xf numFmtId="43" fontId="4" fillId="0" borderId="0" xfId="3" applyFont="1" applyAlignment="1"/>
    <xf numFmtId="167" fontId="4" fillId="0" borderId="0" xfId="0" applyNumberFormat="1" applyFont="1"/>
    <xf numFmtId="0" fontId="42" fillId="0" borderId="0" xfId="0" applyFont="1"/>
    <xf numFmtId="0" fontId="42" fillId="0" borderId="0" xfId="0" applyFont="1" applyAlignment="1">
      <alignment horizontal="left"/>
    </xf>
    <xf numFmtId="10" fontId="43" fillId="0" borderId="0" xfId="1" applyNumberFormat="1" applyFont="1" applyBorder="1" applyAlignment="1"/>
    <xf numFmtId="169" fontId="0" fillId="4" borderId="0" xfId="0" applyNumberFormat="1" applyFill="1"/>
  </cellXfs>
  <cellStyles count="6">
    <cellStyle name="Comma" xfId="3" builtinId="3"/>
    <cellStyle name="Currency" xfId="4" builtinId="4"/>
    <cellStyle name="Hyperlink" xfId="5" builtinId="8"/>
    <cellStyle name="Input" xfId="2" builtinId="20"/>
    <cellStyle name="Normal" xfId="0" builtinId="0"/>
    <cellStyle name="Percent" xfId="1" builtinId="5"/>
  </cellStyles>
  <dxfs count="0"/>
  <tableStyles count="0" defaultTableStyle="TableStyleMedium2" defaultPivotStyle="PivotStyleLight16"/>
  <colors>
    <mruColors>
      <color rgb="FFDC0023"/>
      <color rgb="FFDCFF0A"/>
      <color rgb="FFC80037"/>
      <color rgb="FFD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0</xdr:row>
      <xdr:rowOff>101600</xdr:rowOff>
    </xdr:from>
    <xdr:to>
      <xdr:col>2</xdr:col>
      <xdr:colOff>1004732</xdr:colOff>
      <xdr:row>0</xdr:row>
      <xdr:rowOff>810260</xdr:rowOff>
    </xdr:to>
    <xdr:pic>
      <xdr:nvPicPr>
        <xdr:cNvPr id="3" name="Picture 2">
          <a:extLst>
            <a:ext uri="{FF2B5EF4-FFF2-40B4-BE49-F238E27FC236}">
              <a16:creationId xmlns:a16="http://schemas.microsoft.com/office/drawing/2014/main" id="{BBBE3349-85A4-DE41-A13B-92442D6802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300" y="101600"/>
          <a:ext cx="1576232" cy="708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55880</xdr:colOff>
      <xdr:row>0</xdr:row>
      <xdr:rowOff>114300</xdr:rowOff>
    </xdr:from>
    <xdr:to>
      <xdr:col>2</xdr:col>
      <xdr:colOff>1164752</xdr:colOff>
      <xdr:row>0</xdr:row>
      <xdr:rowOff>821690</xdr:rowOff>
    </xdr:to>
    <xdr:pic>
      <xdr:nvPicPr>
        <xdr:cNvPr id="2" name="Picture 1">
          <a:extLst>
            <a:ext uri="{FF2B5EF4-FFF2-40B4-BE49-F238E27FC236}">
              <a16:creationId xmlns:a16="http://schemas.microsoft.com/office/drawing/2014/main" id="{BF021E44-AE47-42F9-9A9C-304B0484E1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80" y="114300"/>
          <a:ext cx="1502572" cy="7086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101600</xdr:colOff>
      <xdr:row>0</xdr:row>
      <xdr:rowOff>142875</xdr:rowOff>
    </xdr:from>
    <xdr:to>
      <xdr:col>3</xdr:col>
      <xdr:colOff>397037</xdr:colOff>
      <xdr:row>1</xdr:row>
      <xdr:rowOff>3175</xdr:rowOff>
    </xdr:to>
    <xdr:pic>
      <xdr:nvPicPr>
        <xdr:cNvPr id="2" name="Picture 1">
          <a:extLst>
            <a:ext uri="{FF2B5EF4-FFF2-40B4-BE49-F238E27FC236}">
              <a16:creationId xmlns:a16="http://schemas.microsoft.com/office/drawing/2014/main" id="{D4CCED61-1B36-4847-83C2-8CFFF699AA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8825" y="142875"/>
          <a:ext cx="1609887" cy="708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xdr:colOff>
      <xdr:row>16</xdr:row>
      <xdr:rowOff>160020</xdr:rowOff>
    </xdr:from>
    <xdr:to>
      <xdr:col>4</xdr:col>
      <xdr:colOff>15240</xdr:colOff>
      <xdr:row>16</xdr:row>
      <xdr:rowOff>160020</xdr:rowOff>
    </xdr:to>
    <xdr:cxnSp macro="">
      <xdr:nvCxnSpPr>
        <xdr:cNvPr id="3" name="Straight Arrow Connector 2">
          <a:extLst>
            <a:ext uri="{FF2B5EF4-FFF2-40B4-BE49-F238E27FC236}">
              <a16:creationId xmlns:a16="http://schemas.microsoft.com/office/drawing/2014/main" id="{66A07126-FB96-49EC-86A5-636FAA9ECA39}"/>
            </a:ext>
          </a:extLst>
        </xdr:cNvPr>
        <xdr:cNvCxnSpPr/>
      </xdr:nvCxnSpPr>
      <xdr:spPr>
        <a:xfrm>
          <a:off x="2857500" y="2491740"/>
          <a:ext cx="1760220" cy="0"/>
        </a:xfrm>
        <a:prstGeom prst="straightConnector1">
          <a:avLst/>
        </a:prstGeom>
        <a:ln>
          <a:headEnd type="triangl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16</xdr:row>
      <xdr:rowOff>167640</xdr:rowOff>
    </xdr:from>
    <xdr:to>
      <xdr:col>6</xdr:col>
      <xdr:colOff>7620</xdr:colOff>
      <xdr:row>16</xdr:row>
      <xdr:rowOff>167640</xdr:rowOff>
    </xdr:to>
    <xdr:cxnSp macro="">
      <xdr:nvCxnSpPr>
        <xdr:cNvPr id="4" name="Straight Arrow Connector 3">
          <a:extLst>
            <a:ext uri="{FF2B5EF4-FFF2-40B4-BE49-F238E27FC236}">
              <a16:creationId xmlns:a16="http://schemas.microsoft.com/office/drawing/2014/main" id="{2F02F4E9-F87F-491C-8060-5A430D737FCE}"/>
            </a:ext>
          </a:extLst>
        </xdr:cNvPr>
        <xdr:cNvCxnSpPr/>
      </xdr:nvCxnSpPr>
      <xdr:spPr>
        <a:xfrm>
          <a:off x="4602480" y="2499360"/>
          <a:ext cx="1760220" cy="0"/>
        </a:xfrm>
        <a:prstGeom prst="straightConnector1">
          <a:avLst/>
        </a:prstGeom>
        <a:ln>
          <a:headEnd type="triangl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16</xdr:row>
      <xdr:rowOff>175260</xdr:rowOff>
    </xdr:from>
    <xdr:to>
      <xdr:col>12</xdr:col>
      <xdr:colOff>7620</xdr:colOff>
      <xdr:row>16</xdr:row>
      <xdr:rowOff>182880</xdr:rowOff>
    </xdr:to>
    <xdr:cxnSp macro="">
      <xdr:nvCxnSpPr>
        <xdr:cNvPr id="5" name="Straight Arrow Connector 4">
          <a:extLst>
            <a:ext uri="{FF2B5EF4-FFF2-40B4-BE49-F238E27FC236}">
              <a16:creationId xmlns:a16="http://schemas.microsoft.com/office/drawing/2014/main" id="{3AECD2E9-07F3-4852-AD1C-CBE9DFEB6BD3}"/>
            </a:ext>
          </a:extLst>
        </xdr:cNvPr>
        <xdr:cNvCxnSpPr/>
      </xdr:nvCxnSpPr>
      <xdr:spPr>
        <a:xfrm>
          <a:off x="6408420" y="2682240"/>
          <a:ext cx="5265420" cy="7620"/>
        </a:xfrm>
        <a:prstGeom prst="straightConnector1">
          <a:avLst/>
        </a:prstGeom>
        <a:ln>
          <a:headEnd type="triangl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7620</xdr:colOff>
      <xdr:row>29</xdr:row>
      <xdr:rowOff>182880</xdr:rowOff>
    </xdr:from>
    <xdr:to>
      <xdr:col>7</xdr:col>
      <xdr:colOff>0</xdr:colOff>
      <xdr:row>29</xdr:row>
      <xdr:rowOff>182880</xdr:rowOff>
    </xdr:to>
    <xdr:cxnSp macro="">
      <xdr:nvCxnSpPr>
        <xdr:cNvPr id="8" name="Straight Arrow Connector 7">
          <a:extLst>
            <a:ext uri="{FF2B5EF4-FFF2-40B4-BE49-F238E27FC236}">
              <a16:creationId xmlns:a16="http://schemas.microsoft.com/office/drawing/2014/main" id="{E49D8637-F2D5-4340-9C0D-ABBA8504F299}"/>
            </a:ext>
          </a:extLst>
        </xdr:cNvPr>
        <xdr:cNvCxnSpPr/>
      </xdr:nvCxnSpPr>
      <xdr:spPr>
        <a:xfrm>
          <a:off x="2910840" y="5410200"/>
          <a:ext cx="4373880" cy="0"/>
        </a:xfrm>
        <a:prstGeom prst="straightConnector1">
          <a:avLst/>
        </a:prstGeom>
        <a:ln>
          <a:headEnd type="triangl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29</xdr:row>
      <xdr:rowOff>182880</xdr:rowOff>
    </xdr:from>
    <xdr:to>
      <xdr:col>9</xdr:col>
      <xdr:colOff>7620</xdr:colOff>
      <xdr:row>29</xdr:row>
      <xdr:rowOff>182880</xdr:rowOff>
    </xdr:to>
    <xdr:cxnSp macro="">
      <xdr:nvCxnSpPr>
        <xdr:cNvPr id="10" name="Straight Arrow Connector 9">
          <a:extLst>
            <a:ext uri="{FF2B5EF4-FFF2-40B4-BE49-F238E27FC236}">
              <a16:creationId xmlns:a16="http://schemas.microsoft.com/office/drawing/2014/main" id="{443B144A-D3F6-4816-A9E9-664B1113B299}"/>
            </a:ext>
          </a:extLst>
        </xdr:cNvPr>
        <xdr:cNvCxnSpPr/>
      </xdr:nvCxnSpPr>
      <xdr:spPr>
        <a:xfrm>
          <a:off x="7284720" y="5410200"/>
          <a:ext cx="1760220" cy="0"/>
        </a:xfrm>
        <a:prstGeom prst="straightConnector1">
          <a:avLst/>
        </a:prstGeom>
        <a:ln>
          <a:headEnd type="triangl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29</xdr:row>
      <xdr:rowOff>175260</xdr:rowOff>
    </xdr:from>
    <xdr:to>
      <xdr:col>11</xdr:col>
      <xdr:colOff>982980</xdr:colOff>
      <xdr:row>29</xdr:row>
      <xdr:rowOff>182880</xdr:rowOff>
    </xdr:to>
    <xdr:cxnSp macro="">
      <xdr:nvCxnSpPr>
        <xdr:cNvPr id="11" name="Straight Arrow Connector 10">
          <a:extLst>
            <a:ext uri="{FF2B5EF4-FFF2-40B4-BE49-F238E27FC236}">
              <a16:creationId xmlns:a16="http://schemas.microsoft.com/office/drawing/2014/main" id="{910FF611-6BEF-4CC5-96CD-463BB3E8649D}"/>
            </a:ext>
          </a:extLst>
        </xdr:cNvPr>
        <xdr:cNvCxnSpPr/>
      </xdr:nvCxnSpPr>
      <xdr:spPr>
        <a:xfrm flipV="1">
          <a:off x="10995660" y="5455920"/>
          <a:ext cx="982980" cy="7620"/>
        </a:xfrm>
        <a:prstGeom prst="straightConnector1">
          <a:avLst/>
        </a:prstGeom>
        <a:ln>
          <a:headEnd type="triangl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Griffin Global - Standard">
  <a:themeElements>
    <a:clrScheme name="Griffin">
      <a:dk1>
        <a:srgbClr val="3F4450"/>
      </a:dk1>
      <a:lt1>
        <a:srgbClr val="FFFFFF"/>
      </a:lt1>
      <a:dk2>
        <a:srgbClr val="435363"/>
      </a:dk2>
      <a:lt2>
        <a:srgbClr val="FFFFFF"/>
      </a:lt2>
      <a:accent1>
        <a:srgbClr val="EE7624"/>
      </a:accent1>
      <a:accent2>
        <a:srgbClr val="7C98AB"/>
      </a:accent2>
      <a:accent3>
        <a:srgbClr val="587F71"/>
      </a:accent3>
      <a:accent4>
        <a:srgbClr val="00609C"/>
      </a:accent4>
      <a:accent5>
        <a:srgbClr val="005EB8"/>
      </a:accent5>
      <a:accent6>
        <a:srgbClr val="0071CE"/>
      </a:accent6>
      <a:hlink>
        <a:srgbClr val="EE7623"/>
      </a:hlink>
      <a:folHlink>
        <a:srgbClr val="435363"/>
      </a:folHlink>
    </a:clrScheme>
    <a:fontScheme name="Test">
      <a:majorFont>
        <a:latin typeface="Arial Bold"/>
        <a:ea typeface=""/>
        <a:cs typeface=""/>
      </a:majorFont>
      <a:minorFont>
        <a:latin typeface="Arial"/>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chemeClr val="tx2"/>
          </a:solidFill>
        </a:ln>
      </a:spPr>
      <a:bodyPr rtlCol="0" anchor="ctr"/>
      <a:lstStyle>
        <a:defPPr algn="ctr">
          <a:defRPr sz="1600">
            <a:solidFill>
              <a:schemeClr val="tx2"/>
            </a:solidFill>
            <a:latin typeface="Avenir" charset="0"/>
            <a:ea typeface="Avenir" charset="0"/>
            <a:cs typeface="Avenir" charset="0"/>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none" lIns="0" tIns="0" rIns="0" bIns="0" rtlCol="0">
        <a:noAutofit/>
      </a:bodyPr>
      <a:lstStyle>
        <a:defPPr algn="l">
          <a:defRPr dirty="0"/>
        </a:defPPr>
      </a:lstStyle>
    </a:txDef>
  </a:objectDefaults>
  <a:extraClrSchemeLst/>
  <a:extLst>
    <a:ext uri="{05A4C25C-085E-4340-85A3-A5531E510DB2}">
      <thm15:themeFamily xmlns:thm15="http://schemas.microsoft.com/office/thememl/2012/main" name="Griffin Global - Standard" id="{18AEAEEE-DE7A-C045-8512-3BCB88606D0E}" vid="{BE8C2D88-F1B5-1640-B043-BA1BA6B5378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15961-8C43-4181-8973-83187DE62F5A}">
  <dimension ref="A2:F72"/>
  <sheetViews>
    <sheetView workbookViewId="0">
      <selection activeCell="D28" sqref="D28"/>
    </sheetView>
  </sheetViews>
  <sheetFormatPr defaultColWidth="8.625" defaultRowHeight="14.25"/>
  <cols>
    <col min="1" max="1" width="54.125" customWidth="1"/>
    <col min="2" max="2" width="23.625" customWidth="1"/>
    <col min="3" max="4" width="20.625" customWidth="1"/>
    <col min="5" max="10" width="33.5" customWidth="1"/>
  </cols>
  <sheetData>
    <row r="2" spans="1:5">
      <c r="A2" t="s">
        <v>1</v>
      </c>
      <c r="B2" s="1">
        <f>+'KAS Version'!B6</f>
        <v>1000000</v>
      </c>
      <c r="C2" s="1"/>
      <c r="D2" s="1"/>
      <c r="E2" s="1"/>
    </row>
    <row r="3" spans="1:5">
      <c r="A3" t="s">
        <v>0</v>
      </c>
      <c r="B3" s="2">
        <f>+'KAS Version'!B8</f>
        <v>0.2</v>
      </c>
      <c r="C3" s="1"/>
      <c r="D3" s="1"/>
      <c r="E3" s="1"/>
    </row>
    <row r="4" spans="1:5" ht="15">
      <c r="A4" t="s">
        <v>103</v>
      </c>
      <c r="B4" s="2">
        <f>+'KAS Version'!B11</f>
        <v>7.0000000000000007E-2</v>
      </c>
      <c r="C4" s="1"/>
      <c r="D4" s="1"/>
      <c r="E4" s="1"/>
    </row>
    <row r="5" spans="1:5">
      <c r="B5" s="2"/>
      <c r="C5" s="1"/>
      <c r="D5" s="1"/>
      <c r="E5" s="1"/>
    </row>
    <row r="6" spans="1:5">
      <c r="A6" s="84" t="s">
        <v>101</v>
      </c>
      <c r="B6" s="3">
        <f>+'KAS Version'!B33*((1+'KAS Version'!B10))</f>
        <v>1150000</v>
      </c>
      <c r="C6" s="1"/>
      <c r="D6" s="1"/>
      <c r="E6" s="1"/>
    </row>
    <row r="7" spans="1:5" ht="15">
      <c r="A7" t="s">
        <v>102</v>
      </c>
      <c r="B7" s="3">
        <f>B6-B2</f>
        <v>150000</v>
      </c>
      <c r="C7" s="1"/>
      <c r="D7" s="1"/>
      <c r="E7" s="1"/>
    </row>
    <row r="8" spans="1:5">
      <c r="A8" t="s">
        <v>14</v>
      </c>
      <c r="B8" s="1">
        <f>+'KAS Version'!L53</f>
        <v>168250</v>
      </c>
      <c r="C8" s="1"/>
      <c r="D8" s="1"/>
      <c r="E8" s="1"/>
    </row>
    <row r="9" spans="1:5" ht="15" thickBot="1">
      <c r="B9" s="1"/>
      <c r="C9" s="1"/>
      <c r="D9" s="1"/>
      <c r="E9" s="1"/>
    </row>
    <row r="10" spans="1:5">
      <c r="A10" s="15" t="s">
        <v>24</v>
      </c>
      <c r="B10" s="24"/>
      <c r="C10" s="25"/>
      <c r="D10" s="1"/>
      <c r="E10" s="1"/>
    </row>
    <row r="11" spans="1:5">
      <c r="A11" s="18"/>
      <c r="B11" s="9"/>
      <c r="C11" s="20"/>
      <c r="D11" s="1"/>
      <c r="E11" s="1"/>
    </row>
    <row r="12" spans="1:5">
      <c r="A12" s="29" t="s">
        <v>25</v>
      </c>
      <c r="B12" s="12"/>
      <c r="C12" s="30"/>
      <c r="D12" s="1"/>
      <c r="E12" s="1"/>
    </row>
    <row r="13" spans="1:5" ht="30" thickBot="1">
      <c r="A13" s="31" t="s">
        <v>100</v>
      </c>
      <c r="B13" s="32">
        <f>+'KAS Version'!B50+'KAS Version'!B52</f>
        <v>114590.14816265136</v>
      </c>
      <c r="C13" s="33" t="s">
        <v>26</v>
      </c>
      <c r="D13" s="1"/>
      <c r="E13" s="1"/>
    </row>
    <row r="14" spans="1:5">
      <c r="B14" s="1"/>
      <c r="C14" s="1"/>
      <c r="D14" s="1"/>
      <c r="E14" s="1"/>
    </row>
    <row r="15" spans="1:5" ht="15" thickBot="1">
      <c r="B15" s="1"/>
      <c r="C15" s="1"/>
      <c r="D15" s="1"/>
      <c r="E15" s="1"/>
    </row>
    <row r="16" spans="1:5">
      <c r="A16" s="15"/>
      <c r="B16" s="16"/>
      <c r="C16" s="17"/>
      <c r="D16" s="7"/>
      <c r="E16" s="1"/>
    </row>
    <row r="17" spans="1:6">
      <c r="A17" s="18" t="s">
        <v>3</v>
      </c>
      <c r="B17" s="19">
        <f>B2*-0.1</f>
        <v>-100000</v>
      </c>
      <c r="C17" s="20"/>
      <c r="D17" s="1"/>
      <c r="E17" s="1"/>
    </row>
    <row r="18" spans="1:6">
      <c r="A18" s="18" t="s">
        <v>4</v>
      </c>
      <c r="B18" s="35">
        <f>B17/2</f>
        <v>-50000</v>
      </c>
      <c r="C18" s="20"/>
      <c r="D18" s="1"/>
      <c r="E18" s="1"/>
    </row>
    <row r="19" spans="1:6">
      <c r="A19" s="18" t="s">
        <v>20</v>
      </c>
      <c r="B19" s="28">
        <f>SUM(B17:B18)</f>
        <v>-150000</v>
      </c>
      <c r="C19" s="21" t="s">
        <v>27</v>
      </c>
      <c r="D19" s="1"/>
      <c r="E19" s="1"/>
    </row>
    <row r="20" spans="1:6" ht="15" thickBot="1">
      <c r="A20" s="22"/>
      <c r="B20" s="10"/>
      <c r="C20" s="23"/>
      <c r="D20" s="1"/>
      <c r="E20" s="1"/>
    </row>
    <row r="21" spans="1:6" ht="15" thickBot="1">
      <c r="B21" s="4"/>
      <c r="C21" s="1"/>
      <c r="D21" s="1"/>
      <c r="E21" s="1"/>
    </row>
    <row r="22" spans="1:6">
      <c r="A22" s="15" t="s">
        <v>22</v>
      </c>
      <c r="B22" s="24"/>
      <c r="C22" s="25"/>
      <c r="D22" s="1"/>
      <c r="E22" s="1"/>
    </row>
    <row r="23" spans="1:6">
      <c r="A23" s="18" t="s">
        <v>21</v>
      </c>
      <c r="B23" s="9">
        <f>+'KAS Version'!L35</f>
        <v>1841250</v>
      </c>
      <c r="C23" s="20"/>
      <c r="D23" s="1"/>
      <c r="E23" s="1"/>
    </row>
    <row r="24" spans="1:6">
      <c r="A24" s="18" t="s">
        <v>23</v>
      </c>
      <c r="B24" s="9">
        <f>B2</f>
        <v>1000000</v>
      </c>
      <c r="C24" s="20"/>
      <c r="D24" s="1"/>
      <c r="E24" s="1"/>
    </row>
    <row r="25" spans="1:6">
      <c r="A25" s="18" t="s">
        <v>2</v>
      </c>
      <c r="B25" s="9">
        <f>B23-B24</f>
        <v>841250</v>
      </c>
      <c r="C25" s="20"/>
      <c r="D25" s="1"/>
      <c r="E25" s="1"/>
    </row>
    <row r="26" spans="1:6">
      <c r="A26" s="18"/>
      <c r="B26" s="9"/>
      <c r="C26" s="20"/>
      <c r="D26" s="1"/>
      <c r="E26" s="1"/>
    </row>
    <row r="27" spans="1:6">
      <c r="A27" s="18" t="s">
        <v>15</v>
      </c>
      <c r="B27" s="28">
        <f>-B25</f>
        <v>-841250</v>
      </c>
      <c r="C27" s="21" t="s">
        <v>28</v>
      </c>
      <c r="D27" s="1"/>
      <c r="E27" s="1"/>
      <c r="F27" s="5"/>
    </row>
    <row r="28" spans="1:6" ht="15.75" thickBot="1">
      <c r="A28" s="26" t="s">
        <v>18</v>
      </c>
      <c r="B28" s="34">
        <f>B19+B27</f>
        <v>-991250</v>
      </c>
      <c r="C28" s="20"/>
      <c r="D28" s="1"/>
      <c r="E28" s="1"/>
      <c r="F28" s="5"/>
    </row>
    <row r="29" spans="1:6" ht="15.75" thickTop="1" thickBot="1">
      <c r="A29" s="22"/>
      <c r="B29" s="11"/>
      <c r="C29" s="27"/>
      <c r="F29" s="1"/>
    </row>
    <row r="30" spans="1:6">
      <c r="A30" s="13"/>
      <c r="B30" s="14"/>
      <c r="C30" s="14"/>
      <c r="D30" s="4"/>
      <c r="E30" s="1"/>
      <c r="F30" s="1"/>
    </row>
    <row r="31" spans="1:6" ht="15">
      <c r="D31" s="8"/>
      <c r="E31" s="1"/>
      <c r="F31" s="1"/>
    </row>
    <row r="32" spans="1:6">
      <c r="B32" s="1"/>
      <c r="C32" s="1"/>
      <c r="D32" s="1"/>
      <c r="E32" s="1"/>
      <c r="F32" s="1"/>
    </row>
    <row r="33" spans="1:6">
      <c r="B33" s="1" t="s">
        <v>17</v>
      </c>
      <c r="C33" s="1"/>
      <c r="D33" s="1" t="s">
        <v>16</v>
      </c>
      <c r="E33" s="1"/>
      <c r="F33" s="1"/>
    </row>
    <row r="34" spans="1:6">
      <c r="B34" s="1">
        <f>B2</f>
        <v>1000000</v>
      </c>
      <c r="C34" s="1"/>
      <c r="D34" s="1">
        <v>200000</v>
      </c>
      <c r="E34" s="1"/>
    </row>
    <row r="35" spans="1:6">
      <c r="A35" t="s">
        <v>5</v>
      </c>
      <c r="B35" s="1">
        <f>B34*(1+B$4)</f>
        <v>1070000</v>
      </c>
      <c r="C35" s="1"/>
      <c r="D35" s="1">
        <f>D34*(1+B$4)</f>
        <v>214000</v>
      </c>
      <c r="E35" s="1"/>
    </row>
    <row r="36" spans="1:6">
      <c r="A36" t="s">
        <v>6</v>
      </c>
      <c r="B36" s="1">
        <f t="shared" ref="B36:B43" si="0">B35*(1+B$4)</f>
        <v>1144900</v>
      </c>
      <c r="C36" s="1"/>
      <c r="D36" s="1">
        <f t="shared" ref="D36:D40" si="1">D35*(1+B$4)</f>
        <v>228980</v>
      </c>
      <c r="E36" s="1"/>
    </row>
    <row r="37" spans="1:6">
      <c r="A37" t="s">
        <v>7</v>
      </c>
      <c r="B37" s="1">
        <f t="shared" si="0"/>
        <v>1225043</v>
      </c>
      <c r="C37" s="1"/>
      <c r="D37" s="1">
        <f t="shared" si="1"/>
        <v>245008.6</v>
      </c>
      <c r="E37" s="1"/>
    </row>
    <row r="38" spans="1:6">
      <c r="A38" t="s">
        <v>8</v>
      </c>
      <c r="B38" s="1">
        <f t="shared" si="0"/>
        <v>1310796.01</v>
      </c>
      <c r="C38" s="1"/>
      <c r="D38" s="1">
        <f t="shared" si="1"/>
        <v>262159.20200000005</v>
      </c>
      <c r="E38" s="1"/>
    </row>
    <row r="39" spans="1:6">
      <c r="A39" t="s">
        <v>9</v>
      </c>
      <c r="B39" s="1">
        <f t="shared" si="0"/>
        <v>1402551.7307000002</v>
      </c>
      <c r="C39" s="1"/>
      <c r="D39" s="1">
        <f t="shared" si="1"/>
        <v>280510.3461400001</v>
      </c>
      <c r="E39" s="1"/>
    </row>
    <row r="40" spans="1:6">
      <c r="A40" t="s">
        <v>10</v>
      </c>
      <c r="B40" s="1">
        <f t="shared" si="0"/>
        <v>1500730.3518490002</v>
      </c>
      <c r="C40" s="1"/>
      <c r="D40" s="1">
        <f t="shared" si="1"/>
        <v>300146.07036980015</v>
      </c>
      <c r="E40" s="1"/>
    </row>
    <row r="41" spans="1:6">
      <c r="A41" t="s">
        <v>11</v>
      </c>
      <c r="B41" s="1">
        <f t="shared" si="0"/>
        <v>1605781.4764784302</v>
      </c>
      <c r="C41" s="1"/>
      <c r="D41" s="1"/>
      <c r="E41" s="1"/>
    </row>
    <row r="42" spans="1:6">
      <c r="A42" t="s">
        <v>12</v>
      </c>
      <c r="B42" s="1">
        <f t="shared" si="0"/>
        <v>1718186.1798319204</v>
      </c>
      <c r="C42" s="1"/>
      <c r="D42" s="1"/>
      <c r="E42" s="1"/>
    </row>
    <row r="43" spans="1:6">
      <c r="A43" t="s">
        <v>13</v>
      </c>
      <c r="B43" s="1">
        <f t="shared" si="0"/>
        <v>1838459.2124201551</v>
      </c>
      <c r="C43" s="1"/>
      <c r="D43" s="1"/>
      <c r="E43" s="1"/>
    </row>
    <row r="44" spans="1:6" ht="15">
      <c r="B44" s="1"/>
      <c r="C44" s="1"/>
      <c r="D44" s="6">
        <f>D40-D34</f>
        <v>100146.07036980015</v>
      </c>
      <c r="E44" s="6" t="s">
        <v>19</v>
      </c>
    </row>
    <row r="45" spans="1:6">
      <c r="B45" s="1"/>
      <c r="C45" s="1"/>
      <c r="D45" s="1"/>
      <c r="E45" s="1"/>
    </row>
    <row r="46" spans="1:6">
      <c r="B46" s="1"/>
      <c r="C46" s="1"/>
      <c r="D46" s="1"/>
      <c r="E46" s="1"/>
    </row>
    <row r="47" spans="1:6">
      <c r="B47" s="1"/>
      <c r="C47" s="1"/>
      <c r="D47" s="1"/>
      <c r="E47" s="1"/>
    </row>
    <row r="48" spans="1:6">
      <c r="B48" s="1"/>
      <c r="C48" s="1"/>
      <c r="D48" s="1"/>
      <c r="E48" s="1"/>
    </row>
    <row r="49" spans="2:5">
      <c r="B49" s="1"/>
      <c r="C49" s="1"/>
      <c r="D49" s="1"/>
      <c r="E49" s="1"/>
    </row>
    <row r="50" spans="2:5">
      <c r="B50" s="1"/>
      <c r="C50" s="1"/>
      <c r="D50" s="1"/>
      <c r="E50" s="1"/>
    </row>
    <row r="51" spans="2:5">
      <c r="B51" s="1"/>
      <c r="C51" s="1"/>
      <c r="D51" s="1"/>
      <c r="E51" s="1"/>
    </row>
    <row r="52" spans="2:5">
      <c r="B52" s="1"/>
      <c r="C52" s="1"/>
      <c r="D52" s="1"/>
      <c r="E52" s="1"/>
    </row>
    <row r="53" spans="2:5">
      <c r="B53" s="1"/>
      <c r="C53" s="1"/>
      <c r="D53" s="1"/>
      <c r="E53" s="1"/>
    </row>
    <row r="54" spans="2:5">
      <c r="B54" s="1"/>
      <c r="C54" s="1"/>
      <c r="D54" s="1"/>
      <c r="E54" s="1"/>
    </row>
    <row r="55" spans="2:5">
      <c r="B55" s="1"/>
      <c r="C55" s="1"/>
      <c r="D55" s="1"/>
      <c r="E55" s="1"/>
    </row>
    <row r="56" spans="2:5">
      <c r="B56" s="1"/>
      <c r="C56" s="1"/>
      <c r="D56" s="1"/>
      <c r="E56" s="1"/>
    </row>
    <row r="57" spans="2:5">
      <c r="B57" s="1"/>
      <c r="C57" s="1"/>
      <c r="D57" s="1"/>
      <c r="E57" s="1"/>
    </row>
    <row r="58" spans="2:5">
      <c r="B58" s="1"/>
      <c r="C58" s="1"/>
      <c r="D58" s="1"/>
      <c r="E58" s="1"/>
    </row>
    <row r="59" spans="2:5">
      <c r="B59" s="1"/>
      <c r="C59" s="1"/>
      <c r="D59" s="1"/>
      <c r="E59" s="1"/>
    </row>
    <row r="60" spans="2:5">
      <c r="B60" s="1"/>
      <c r="C60" s="1"/>
      <c r="D60" s="1"/>
      <c r="E60" s="1"/>
    </row>
    <row r="61" spans="2:5">
      <c r="B61" s="1"/>
      <c r="C61" s="1"/>
      <c r="D61" s="1"/>
      <c r="E61" s="1"/>
    </row>
    <row r="62" spans="2:5">
      <c r="B62" s="1"/>
      <c r="C62" s="1"/>
      <c r="D62" s="1"/>
      <c r="E62" s="1"/>
    </row>
    <row r="63" spans="2:5">
      <c r="B63" s="1"/>
      <c r="C63" s="1"/>
      <c r="D63" s="1"/>
      <c r="E63" s="1"/>
    </row>
    <row r="64" spans="2:5">
      <c r="B64" s="1"/>
      <c r="C64" s="1"/>
      <c r="D64" s="1"/>
      <c r="E64" s="1"/>
    </row>
    <row r="65" spans="2:5">
      <c r="B65" s="1"/>
      <c r="C65" s="1"/>
      <c r="D65" s="1"/>
      <c r="E65" s="1"/>
    </row>
    <row r="66" spans="2:5">
      <c r="B66" s="1"/>
      <c r="C66" s="1"/>
      <c r="D66" s="1"/>
      <c r="E66" s="1"/>
    </row>
    <row r="67" spans="2:5">
      <c r="B67" s="1"/>
      <c r="C67" s="1"/>
      <c r="D67" s="1"/>
      <c r="E67" s="1"/>
    </row>
    <row r="68" spans="2:5">
      <c r="B68" s="1"/>
      <c r="C68" s="1"/>
      <c r="D68" s="1"/>
      <c r="E68" s="1"/>
    </row>
    <row r="69" spans="2:5">
      <c r="B69" s="1"/>
      <c r="C69" s="1"/>
      <c r="D69" s="1"/>
      <c r="E69" s="1"/>
    </row>
    <row r="70" spans="2:5">
      <c r="B70" s="1"/>
      <c r="C70" s="1"/>
      <c r="D70" s="1"/>
      <c r="E70" s="1"/>
    </row>
    <row r="71" spans="2:5">
      <c r="B71" s="1"/>
      <c r="C71" s="1"/>
      <c r="D71" s="1"/>
      <c r="E71" s="1"/>
    </row>
    <row r="72" spans="2:5">
      <c r="B72" s="1"/>
      <c r="C72" s="1"/>
      <c r="D72" s="1"/>
      <c r="E72" s="1"/>
    </row>
  </sheetData>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9CED6-7277-462E-9E26-A8E875D6A7E9}">
  <sheetPr>
    <pageSetUpPr fitToPage="1"/>
  </sheetPr>
  <dimension ref="A1:E47"/>
  <sheetViews>
    <sheetView showGridLines="0" topLeftCell="A7" workbookViewId="0">
      <selection activeCell="B8" sqref="B8:C8"/>
    </sheetView>
  </sheetViews>
  <sheetFormatPr defaultColWidth="8.625" defaultRowHeight="14.25"/>
  <cols>
    <col min="1" max="1" width="8.625" style="86"/>
    <col min="2" max="2" width="8.5" style="86" customWidth="1"/>
    <col min="3" max="3" width="97.125" style="86" customWidth="1"/>
    <col min="4" max="16384" width="8.625" style="86"/>
  </cols>
  <sheetData>
    <row r="1" spans="1:5" ht="66" customHeight="1">
      <c r="A1" s="93"/>
      <c r="B1" s="93"/>
      <c r="C1" s="93"/>
      <c r="D1" s="93"/>
      <c r="E1" s="93"/>
    </row>
    <row r="2" spans="1:5" ht="15" customHeight="1">
      <c r="A2" s="93"/>
      <c r="B2" s="93"/>
      <c r="C2" s="93"/>
      <c r="D2" s="93"/>
      <c r="E2" s="93"/>
    </row>
    <row r="3" spans="1:5" ht="25.5">
      <c r="A3" s="93"/>
      <c r="B3" s="194" t="s">
        <v>185</v>
      </c>
      <c r="C3" s="194"/>
      <c r="D3" s="93"/>
      <c r="E3" s="93"/>
    </row>
    <row r="4" spans="1:5">
      <c r="A4" s="93"/>
      <c r="B4" s="93"/>
      <c r="C4" s="94"/>
      <c r="D4" s="93"/>
      <c r="E4" s="93"/>
    </row>
    <row r="5" spans="1:5" ht="18">
      <c r="A5" s="93"/>
      <c r="B5" s="195" t="s">
        <v>186</v>
      </c>
      <c r="C5" s="195"/>
      <c r="D5" s="93"/>
      <c r="E5" s="93"/>
    </row>
    <row r="6" spans="1:5">
      <c r="A6" s="93"/>
      <c r="B6" s="93"/>
      <c r="C6" s="93"/>
      <c r="D6" s="93"/>
      <c r="E6" s="93"/>
    </row>
    <row r="7" spans="1:5" s="92" customFormat="1" ht="25.35" customHeight="1">
      <c r="A7" s="96"/>
      <c r="B7" s="97" t="s">
        <v>71</v>
      </c>
      <c r="C7" s="96"/>
      <c r="D7" s="96"/>
      <c r="E7" s="96"/>
    </row>
    <row r="8" spans="1:5" ht="65.25" customHeight="1">
      <c r="A8" s="93"/>
      <c r="B8" s="197" t="s">
        <v>198</v>
      </c>
      <c r="C8" s="197"/>
      <c r="D8" s="93"/>
      <c r="E8" s="93"/>
    </row>
    <row r="9" spans="1:5" ht="49.5" customHeight="1">
      <c r="A9" s="93"/>
      <c r="B9" s="95">
        <v>1</v>
      </c>
      <c r="C9" s="96" t="s">
        <v>213</v>
      </c>
      <c r="D9" s="93"/>
      <c r="E9" s="93"/>
    </row>
    <row r="10" spans="1:5" ht="49.5" customHeight="1">
      <c r="A10" s="93"/>
      <c r="B10" s="95">
        <v>2</v>
      </c>
      <c r="C10" s="96" t="s">
        <v>197</v>
      </c>
      <c r="D10" s="93"/>
      <c r="E10" s="93"/>
    </row>
    <row r="11" spans="1:5" ht="48.75" customHeight="1">
      <c r="A11" s="93"/>
      <c r="B11" s="95">
        <v>3</v>
      </c>
      <c r="C11" s="96" t="s">
        <v>195</v>
      </c>
      <c r="D11" s="93"/>
      <c r="E11" s="93"/>
    </row>
    <row r="12" spans="1:5" ht="24" customHeight="1">
      <c r="A12" s="93"/>
      <c r="B12" s="95">
        <v>4</v>
      </c>
      <c r="C12" s="96" t="s">
        <v>196</v>
      </c>
      <c r="D12" s="93"/>
      <c r="E12" s="93"/>
    </row>
    <row r="13" spans="1:5">
      <c r="A13" s="93"/>
      <c r="B13" s="93"/>
      <c r="C13" s="93"/>
      <c r="D13" s="93"/>
      <c r="E13" s="93"/>
    </row>
    <row r="14" spans="1:5" s="92" customFormat="1" ht="26.1" customHeight="1">
      <c r="A14" s="96"/>
      <c r="B14" s="97" t="s">
        <v>177</v>
      </c>
      <c r="C14" s="96"/>
      <c r="D14" s="96"/>
      <c r="E14" s="96"/>
    </row>
    <row r="15" spans="1:5" ht="28.35" customHeight="1">
      <c r="A15" s="93"/>
      <c r="B15" s="196" t="s">
        <v>178</v>
      </c>
      <c r="C15" s="196"/>
      <c r="D15" s="93"/>
      <c r="E15" s="93"/>
    </row>
    <row r="16" spans="1:5" ht="14.85" customHeight="1">
      <c r="A16" s="93"/>
      <c r="B16" s="137" t="s">
        <v>184</v>
      </c>
      <c r="C16" s="96" t="s">
        <v>179</v>
      </c>
      <c r="D16" s="93"/>
      <c r="E16" s="93"/>
    </row>
    <row r="17" spans="1:5" ht="14.85" customHeight="1">
      <c r="A17" s="93"/>
      <c r="B17" s="137" t="s">
        <v>211</v>
      </c>
      <c r="C17" s="96" t="s">
        <v>212</v>
      </c>
      <c r="D17" s="93"/>
      <c r="E17" s="93"/>
    </row>
    <row r="18" spans="1:5" ht="14.85" customHeight="1">
      <c r="A18" s="93"/>
      <c r="B18" s="137" t="s">
        <v>214</v>
      </c>
      <c r="C18" s="96" t="s">
        <v>200</v>
      </c>
      <c r="D18" s="93"/>
      <c r="E18" s="93"/>
    </row>
    <row r="19" spans="1:5" ht="15" customHeight="1">
      <c r="A19" s="93"/>
      <c r="B19" s="137" t="s">
        <v>210</v>
      </c>
      <c r="C19" s="96" t="s">
        <v>199</v>
      </c>
      <c r="D19" s="93"/>
      <c r="E19" s="93"/>
    </row>
    <row r="20" spans="1:5" ht="14.85" customHeight="1">
      <c r="A20" s="93"/>
      <c r="B20" s="137" t="s">
        <v>209</v>
      </c>
      <c r="C20" s="96" t="s">
        <v>201</v>
      </c>
      <c r="D20" s="93"/>
      <c r="E20" s="93"/>
    </row>
    <row r="22" spans="1:5" ht="15">
      <c r="A22" s="93"/>
      <c r="B22" s="136"/>
      <c r="C22" s="93"/>
      <c r="D22" s="93"/>
      <c r="E22" s="93"/>
    </row>
    <row r="23" spans="1:5">
      <c r="A23" s="93"/>
      <c r="B23" s="93"/>
      <c r="C23" s="93"/>
      <c r="D23" s="93"/>
      <c r="E23" s="93"/>
    </row>
    <row r="24" spans="1:5">
      <c r="A24" s="93"/>
      <c r="B24" s="93"/>
      <c r="C24" s="93"/>
      <c r="D24" s="93"/>
      <c r="E24" s="93"/>
    </row>
    <row r="25" spans="1:5">
      <c r="A25" s="93"/>
      <c r="B25" s="93"/>
      <c r="C25" s="93"/>
      <c r="D25" s="93"/>
      <c r="E25" s="93"/>
    </row>
    <row r="26" spans="1:5">
      <c r="A26" s="93"/>
      <c r="B26" s="93"/>
      <c r="C26" s="93"/>
      <c r="D26" s="93"/>
      <c r="E26" s="93"/>
    </row>
    <row r="27" spans="1:5">
      <c r="A27" s="93"/>
      <c r="B27" s="93"/>
      <c r="C27" s="93"/>
      <c r="D27" s="93"/>
      <c r="E27" s="93"/>
    </row>
    <row r="28" spans="1:5">
      <c r="A28" s="93"/>
      <c r="B28" s="93"/>
      <c r="C28" s="93"/>
      <c r="D28" s="93"/>
      <c r="E28" s="93"/>
    </row>
    <row r="29" spans="1:5">
      <c r="A29" s="93"/>
      <c r="B29" s="93"/>
      <c r="C29" s="93"/>
      <c r="D29" s="93"/>
      <c r="E29" s="93"/>
    </row>
    <row r="30" spans="1:5">
      <c r="A30" s="93"/>
      <c r="B30" s="93"/>
      <c r="C30" s="93"/>
      <c r="D30" s="93"/>
      <c r="E30" s="93"/>
    </row>
    <row r="31" spans="1:5">
      <c r="A31" s="93"/>
      <c r="B31" s="93"/>
      <c r="C31" s="93"/>
      <c r="D31" s="93"/>
      <c r="E31" s="93"/>
    </row>
    <row r="32" spans="1:5">
      <c r="A32" s="93"/>
      <c r="B32" s="93"/>
      <c r="C32" s="93"/>
      <c r="D32" s="93"/>
      <c r="E32" s="93"/>
    </row>
    <row r="33" spans="1:5">
      <c r="A33" s="93"/>
      <c r="B33" s="93"/>
      <c r="C33" s="93"/>
      <c r="D33" s="93"/>
      <c r="E33" s="93"/>
    </row>
    <row r="34" spans="1:5">
      <c r="A34" s="93"/>
      <c r="B34" s="93"/>
      <c r="C34" s="93"/>
      <c r="D34" s="93"/>
      <c r="E34" s="93"/>
    </row>
    <row r="35" spans="1:5">
      <c r="A35" s="93"/>
      <c r="B35" s="93"/>
      <c r="C35" s="93"/>
      <c r="D35" s="93"/>
      <c r="E35" s="93"/>
    </row>
    <row r="36" spans="1:5">
      <c r="A36" s="93"/>
      <c r="B36" s="93"/>
      <c r="C36" s="93"/>
      <c r="D36" s="93"/>
      <c r="E36" s="93"/>
    </row>
    <row r="37" spans="1:5">
      <c r="A37" s="93"/>
      <c r="B37" s="93"/>
      <c r="C37" s="93"/>
      <c r="D37" s="93"/>
      <c r="E37" s="93"/>
    </row>
    <row r="38" spans="1:5">
      <c r="A38" s="93"/>
      <c r="B38" s="93"/>
      <c r="C38" s="93"/>
      <c r="D38" s="93"/>
      <c r="E38" s="93"/>
    </row>
    <row r="39" spans="1:5">
      <c r="A39" s="93"/>
      <c r="B39" s="93"/>
      <c r="C39" s="93"/>
      <c r="D39" s="93"/>
      <c r="E39" s="93"/>
    </row>
    <row r="40" spans="1:5">
      <c r="A40" s="93"/>
      <c r="B40" s="93"/>
      <c r="C40" s="93"/>
      <c r="D40" s="93"/>
      <c r="E40" s="93"/>
    </row>
    <row r="41" spans="1:5">
      <c r="A41" s="93"/>
      <c r="B41" s="93"/>
      <c r="C41" s="93"/>
      <c r="D41" s="93"/>
      <c r="E41" s="93"/>
    </row>
    <row r="42" spans="1:5">
      <c r="A42" s="93"/>
      <c r="B42" s="93"/>
      <c r="C42" s="93"/>
      <c r="D42" s="93"/>
      <c r="E42" s="93"/>
    </row>
    <row r="43" spans="1:5">
      <c r="A43" s="93"/>
      <c r="B43" s="93"/>
      <c r="C43" s="93"/>
      <c r="D43" s="93"/>
      <c r="E43" s="93"/>
    </row>
    <row r="44" spans="1:5">
      <c r="A44" s="93"/>
      <c r="B44" s="93"/>
      <c r="C44" s="93"/>
      <c r="D44" s="93"/>
      <c r="E44" s="93"/>
    </row>
    <row r="45" spans="1:5">
      <c r="A45" s="93"/>
      <c r="B45" s="93"/>
      <c r="C45" s="93"/>
      <c r="D45" s="93"/>
      <c r="E45" s="93"/>
    </row>
    <row r="46" spans="1:5">
      <c r="A46" s="93"/>
      <c r="B46" s="93"/>
      <c r="C46" s="93"/>
      <c r="D46" s="93"/>
      <c r="E46" s="93"/>
    </row>
    <row r="47" spans="1:5">
      <c r="A47" s="93"/>
      <c r="B47" s="93"/>
      <c r="C47" s="93"/>
      <c r="D47" s="93"/>
      <c r="E47" s="93"/>
    </row>
  </sheetData>
  <sheetProtection algorithmName="SHA-512" hashValue="y/4FBiKfNZqta5D6LJAgCb7lpDNnJfKIqIqlFzim0BmMhEf8Jbmw9rObnSrkX/YlNZ5Ica9O7lZxN6x59mf1Ow==" saltValue="3J8NivHdYbmEqJ73O9apOw==" spinCount="100000" sheet="1" objects="1" scenarios="1"/>
  <mergeCells count="4">
    <mergeCell ref="B3:C3"/>
    <mergeCell ref="B5:C5"/>
    <mergeCell ref="B15:C15"/>
    <mergeCell ref="B8:C8"/>
  </mergeCells>
  <printOptions horizontalCentered="1"/>
  <pageMargins left="0" right="0" top="0.75" bottom="0.75" header="0.3" footer="0.3"/>
  <pageSetup scale="81"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E42AD-DD44-457E-B89E-F05030540719}">
  <sheetPr>
    <pageSetUpPr fitToPage="1"/>
  </sheetPr>
  <dimension ref="A1:U79"/>
  <sheetViews>
    <sheetView tabSelected="1" zoomScale="110" zoomScaleNormal="110" workbookViewId="0">
      <selection activeCell="E15" sqref="E15"/>
    </sheetView>
  </sheetViews>
  <sheetFormatPr defaultColWidth="0" defaultRowHeight="14.25" zeroHeight="1"/>
  <cols>
    <col min="1" max="1" width="7" customWidth="1"/>
    <col min="2" max="2" width="6.125" customWidth="1"/>
    <col min="3" max="3" width="50.625" customWidth="1"/>
    <col min="4" max="4" width="18.625" style="85" customWidth="1"/>
    <col min="5" max="5" width="19.125" style="85" customWidth="1"/>
    <col min="6" max="6" width="4" customWidth="1"/>
    <col min="7" max="7" width="2.125" customWidth="1"/>
    <col min="8" max="8" width="13.625" hidden="1" customWidth="1"/>
    <col min="9" max="10" width="13.625" hidden="1"/>
    <col min="11" max="11" width="12.125" hidden="1"/>
    <col min="12" max="12" width="0.125" hidden="1"/>
    <col min="13" max="14" width="14.125" hidden="1"/>
    <col min="15" max="15" width="11.375" hidden="1"/>
    <col min="16" max="16" width="9.625" hidden="1"/>
    <col min="22" max="16384" width="8.625" hidden="1"/>
  </cols>
  <sheetData>
    <row r="1" spans="1:21" ht="67.349999999999994" customHeight="1">
      <c r="A1" s="13"/>
      <c r="B1" s="13"/>
      <c r="C1" s="13"/>
      <c r="D1" s="98"/>
      <c r="E1" s="98"/>
      <c r="F1" s="13"/>
      <c r="G1" s="13"/>
    </row>
    <row r="2" spans="1:21" ht="15" customHeight="1">
      <c r="A2" s="13"/>
      <c r="B2" s="13"/>
      <c r="C2" s="13"/>
      <c r="D2" s="98"/>
      <c r="E2" s="98"/>
      <c r="F2" s="13"/>
      <c r="G2" s="13"/>
    </row>
    <row r="3" spans="1:21" ht="25.35" customHeight="1">
      <c r="A3" s="13"/>
      <c r="B3" s="13"/>
      <c r="C3" s="194" t="s">
        <v>220</v>
      </c>
      <c r="D3" s="194"/>
      <c r="E3" s="194"/>
      <c r="F3" s="13"/>
      <c r="G3" s="13"/>
    </row>
    <row r="4" spans="1:21" ht="25.35" customHeight="1">
      <c r="A4" s="13"/>
      <c r="B4" s="13"/>
      <c r="C4" s="204" t="s">
        <v>221</v>
      </c>
      <c r="D4" s="204"/>
      <c r="E4" s="204"/>
      <c r="F4" s="13"/>
      <c r="G4" s="13"/>
    </row>
    <row r="5" spans="1:21" ht="11.1" customHeight="1">
      <c r="A5" s="13"/>
      <c r="B5" s="13"/>
      <c r="C5" s="204"/>
      <c r="D5" s="204"/>
      <c r="E5" s="204"/>
      <c r="F5" s="13"/>
      <c r="G5" s="13"/>
    </row>
    <row r="6" spans="1:21" ht="18">
      <c r="A6" s="13"/>
      <c r="B6" s="13"/>
      <c r="C6" s="211" t="s">
        <v>190</v>
      </c>
      <c r="D6" s="211"/>
      <c r="E6" s="211"/>
      <c r="F6" s="13"/>
      <c r="G6" s="13"/>
    </row>
    <row r="7" spans="1:21">
      <c r="A7" s="13"/>
      <c r="B7" s="13"/>
      <c r="C7" s="13"/>
      <c r="D7" s="98"/>
      <c r="E7" s="98"/>
      <c r="F7" s="13"/>
      <c r="G7" s="13"/>
    </row>
    <row r="8" spans="1:21" ht="21" customHeight="1">
      <c r="A8" s="13"/>
      <c r="B8" s="13"/>
      <c r="C8" s="212" t="s">
        <v>71</v>
      </c>
      <c r="D8" s="213"/>
      <c r="E8" s="214"/>
      <c r="F8" s="13"/>
      <c r="G8" s="13"/>
    </row>
    <row r="9" spans="1:21">
      <c r="A9" s="13"/>
      <c r="B9" s="13"/>
      <c r="C9" s="125" t="s">
        <v>203</v>
      </c>
      <c r="D9" s="126"/>
      <c r="E9" s="161">
        <v>250000</v>
      </c>
      <c r="F9" s="13"/>
      <c r="G9" s="13"/>
    </row>
    <row r="10" spans="1:21">
      <c r="A10" s="13"/>
      <c r="B10" s="13"/>
      <c r="C10" s="119" t="s">
        <v>207</v>
      </c>
      <c r="D10" s="13"/>
      <c r="E10" s="120">
        <v>0.2</v>
      </c>
      <c r="F10" s="99"/>
      <c r="G10" s="13"/>
    </row>
    <row r="11" spans="1:21">
      <c r="A11" s="13"/>
      <c r="B11" s="13"/>
      <c r="C11" s="119" t="s">
        <v>208</v>
      </c>
      <c r="D11" s="157" t="s">
        <v>105</v>
      </c>
      <c r="E11" s="120">
        <v>3.7999999999999999E-2</v>
      </c>
      <c r="G11" s="13"/>
    </row>
    <row r="12" spans="1:21" hidden="1">
      <c r="A12" s="13"/>
      <c r="B12" s="13"/>
      <c r="C12" s="119" t="s">
        <v>107</v>
      </c>
      <c r="D12" s="13"/>
      <c r="E12" s="121">
        <f>D25-D20</f>
        <v>2</v>
      </c>
      <c r="F12" s="99"/>
      <c r="G12" s="99"/>
    </row>
    <row r="13" spans="1:21">
      <c r="A13" s="13"/>
      <c r="B13" s="13"/>
      <c r="C13" s="119" t="s">
        <v>215</v>
      </c>
      <c r="D13" s="160" t="s">
        <v>126</v>
      </c>
      <c r="E13" s="120" cm="1">
        <f t="array" ref="E13">+SUMPRODUCT(('State Capital Gains Tax Rates'!$D$5:$D$55='Investment Analysis'!$D$13)*('State Capital Gains Tax Rates'!$E$4:$F$4='Investment Analysis'!$D$20)*('State Capital Gains Tax Rates'!$E$5:$F$55))</f>
        <v>0.05</v>
      </c>
      <c r="F13" s="139"/>
      <c r="G13" s="243"/>
      <c r="H13" s="244"/>
      <c r="I13" s="244"/>
      <c r="J13" s="244"/>
      <c r="K13" s="244"/>
      <c r="L13" s="244"/>
      <c r="M13" s="244"/>
      <c r="N13" s="244"/>
    </row>
    <row r="14" spans="1:21">
      <c r="A14" s="13"/>
      <c r="B14" s="13"/>
      <c r="C14" s="119" t="s">
        <v>216</v>
      </c>
      <c r="D14" s="139"/>
      <c r="E14" s="122" t="str">
        <f>+VLOOKUP($D$13,'State Capital Gains Tax Rates'!$D$5:$G$55,4,FALSE)</f>
        <v>Yes</v>
      </c>
      <c r="F14" s="13"/>
      <c r="G14" s="243"/>
      <c r="H14" s="244"/>
      <c r="I14" s="244"/>
      <c r="J14" s="244"/>
      <c r="K14" s="244"/>
      <c r="L14" s="244"/>
      <c r="M14" s="244"/>
      <c r="N14" s="244"/>
    </row>
    <row r="15" spans="1:21">
      <c r="A15" s="13"/>
      <c r="B15" s="13"/>
      <c r="C15" s="140" t="s">
        <v>217</v>
      </c>
      <c r="D15" s="13"/>
      <c r="E15" s="162">
        <v>0.09</v>
      </c>
      <c r="F15" s="13"/>
      <c r="G15" s="243"/>
      <c r="H15" s="244"/>
      <c r="I15" s="244"/>
      <c r="J15" s="244"/>
      <c r="K15" s="244"/>
      <c r="L15" s="244"/>
      <c r="M15" s="244"/>
      <c r="N15" s="244"/>
      <c r="O15" s="244"/>
      <c r="P15" s="244"/>
      <c r="Q15" s="244"/>
      <c r="R15" s="244"/>
      <c r="S15" s="244"/>
      <c r="T15" s="244"/>
      <c r="U15" s="244"/>
    </row>
    <row r="16" spans="1:21" ht="14.85" customHeight="1">
      <c r="A16" s="13"/>
      <c r="B16" s="13"/>
      <c r="C16" s="123" t="s">
        <v>205</v>
      </c>
      <c r="D16" s="124"/>
      <c r="E16" s="177">
        <f>+E15</f>
        <v>0.09</v>
      </c>
      <c r="F16" s="13"/>
      <c r="G16" s="243"/>
      <c r="H16" s="244"/>
      <c r="I16" s="244"/>
      <c r="J16" s="244"/>
      <c r="K16" s="244"/>
      <c r="L16" s="244"/>
      <c r="M16" s="244"/>
      <c r="N16" s="244"/>
      <c r="O16" s="244"/>
      <c r="P16" s="244"/>
      <c r="Q16" s="244"/>
      <c r="R16" s="244"/>
      <c r="S16" s="244"/>
      <c r="T16" s="244"/>
      <c r="U16" s="244"/>
    </row>
    <row r="17" spans="1:21" ht="17.25" customHeight="1">
      <c r="A17" s="13"/>
      <c r="B17" s="13"/>
      <c r="C17" s="13"/>
      <c r="D17" s="100" t="s">
        <v>189</v>
      </c>
      <c r="E17" s="13"/>
      <c r="F17" s="13"/>
      <c r="G17" s="243"/>
      <c r="H17" s="244"/>
      <c r="I17" s="244"/>
      <c r="J17" s="244"/>
      <c r="K17" s="244"/>
      <c r="L17" s="244"/>
      <c r="M17" s="244"/>
      <c r="N17" s="244"/>
      <c r="O17" s="244"/>
      <c r="Q17" s="244"/>
      <c r="R17" s="244"/>
      <c r="S17" s="244"/>
      <c r="T17" s="244"/>
      <c r="U17" s="244"/>
    </row>
    <row r="18" spans="1:21" ht="15">
      <c r="A18" s="13"/>
      <c r="B18" s="13"/>
      <c r="C18" s="13"/>
      <c r="D18" s="100" t="s">
        <v>188</v>
      </c>
      <c r="E18" s="101" t="s">
        <v>117</v>
      </c>
      <c r="F18" s="13"/>
      <c r="G18" s="243"/>
      <c r="H18" s="244"/>
      <c r="I18" s="244"/>
      <c r="J18" s="244"/>
      <c r="K18" s="244"/>
      <c r="L18" s="244"/>
      <c r="M18" s="244"/>
      <c r="N18" s="244"/>
      <c r="O18" s="244"/>
      <c r="Q18" s="244"/>
      <c r="R18" s="244"/>
      <c r="S18" s="244"/>
      <c r="T18" s="244"/>
      <c r="U18" s="244"/>
    </row>
    <row r="19" spans="1:21" ht="24" customHeight="1">
      <c r="A19" s="13"/>
      <c r="B19" s="13"/>
      <c r="C19" s="117"/>
      <c r="D19" s="118" t="s">
        <v>119</v>
      </c>
      <c r="E19" s="118" t="s">
        <v>119</v>
      </c>
      <c r="F19" s="13"/>
      <c r="G19" s="243"/>
      <c r="H19" s="244"/>
      <c r="I19" s="244"/>
      <c r="J19" s="244"/>
      <c r="K19" s="244"/>
      <c r="L19" s="244"/>
      <c r="M19" s="244"/>
      <c r="N19" s="245"/>
      <c r="O19" s="245"/>
      <c r="Q19" s="244"/>
      <c r="R19" s="244"/>
      <c r="S19" s="244"/>
      <c r="T19" s="244"/>
      <c r="U19" s="244"/>
    </row>
    <row r="20" spans="1:21">
      <c r="A20" s="13"/>
      <c r="B20" s="13"/>
      <c r="C20" s="175" t="s">
        <v>106</v>
      </c>
      <c r="D20" s="173">
        <v>2024</v>
      </c>
      <c r="E20" s="174">
        <f>D20</f>
        <v>2024</v>
      </c>
      <c r="F20" s="13"/>
      <c r="G20" s="243"/>
      <c r="H20" s="244"/>
      <c r="I20" s="244"/>
      <c r="J20" s="244"/>
      <c r="K20" s="244"/>
      <c r="L20" s="244"/>
      <c r="M20" s="244"/>
      <c r="N20" s="245"/>
      <c r="O20" s="245"/>
      <c r="P20" s="245"/>
      <c r="Q20" s="244"/>
      <c r="R20" s="244"/>
      <c r="S20" s="244"/>
      <c r="T20" s="244"/>
      <c r="U20" s="244"/>
    </row>
    <row r="21" spans="1:21">
      <c r="A21" s="13"/>
      <c r="B21" s="13"/>
      <c r="C21" s="102" t="s">
        <v>203</v>
      </c>
      <c r="D21" s="103">
        <f>E9</f>
        <v>250000</v>
      </c>
      <c r="E21" s="103">
        <f>E9</f>
        <v>250000</v>
      </c>
      <c r="F21" s="253"/>
      <c r="G21" s="243"/>
      <c r="H21" s="244"/>
      <c r="I21" s="244"/>
      <c r="J21" s="244"/>
      <c r="K21" s="244"/>
      <c r="L21" s="244"/>
      <c r="M21" s="245"/>
      <c r="N21" s="245"/>
      <c r="O21" s="245"/>
      <c r="P21" s="245"/>
      <c r="Q21" s="244"/>
      <c r="R21" s="244"/>
      <c r="S21" s="244"/>
      <c r="T21" s="244"/>
      <c r="U21" s="244"/>
    </row>
    <row r="22" spans="1:21" ht="8.1" customHeight="1">
      <c r="A22" s="13"/>
      <c r="B22" s="13"/>
      <c r="C22" s="102"/>
      <c r="D22" s="103"/>
      <c r="E22" s="103"/>
      <c r="F22" s="13"/>
      <c r="G22" s="243"/>
      <c r="H22" s="244"/>
      <c r="I22" s="244"/>
      <c r="J22" s="244"/>
      <c r="K22" s="244"/>
      <c r="L22" s="244"/>
      <c r="M22" s="244"/>
      <c r="N22" s="245"/>
      <c r="O22" s="244"/>
      <c r="P22" s="244"/>
      <c r="Q22" s="244"/>
      <c r="R22" s="244"/>
      <c r="S22" s="244"/>
      <c r="T22" s="244"/>
      <c r="U22" s="244"/>
    </row>
    <row r="23" spans="1:21">
      <c r="A23" s="13"/>
      <c r="B23" s="13"/>
      <c r="C23" s="102" t="s">
        <v>187</v>
      </c>
      <c r="D23" s="104">
        <f>IF(D11="Yes",-IF(D13="Washington",MAX(D21-250000,0),D21)*E13-(D21*(E10+E11)),-IF(D13="Washington",MAX(D21-250000,0),D21)*E13-(E10*D21))</f>
        <v>-72000</v>
      </c>
      <c r="E23" s="104">
        <f>-IF(E14="YES",0,IF(D13="Washington",MAX(E21-250000,0),E21)*E13)</f>
        <v>0</v>
      </c>
      <c r="F23" s="158"/>
      <c r="G23" s="243"/>
      <c r="H23" s="244"/>
      <c r="I23" s="244"/>
      <c r="J23" s="244"/>
      <c r="K23" s="244"/>
      <c r="L23" s="244"/>
      <c r="M23" s="246"/>
      <c r="N23" s="244"/>
      <c r="O23" s="246"/>
      <c r="P23" s="244"/>
      <c r="Q23" s="244"/>
      <c r="R23" s="244"/>
      <c r="S23" s="244"/>
      <c r="T23" s="244"/>
      <c r="U23" s="244"/>
    </row>
    <row r="24" spans="1:21">
      <c r="A24" s="13"/>
      <c r="B24" s="13"/>
      <c r="C24" s="102"/>
      <c r="D24" s="112"/>
      <c r="E24" s="112"/>
      <c r="F24" s="13"/>
      <c r="G24" s="243"/>
      <c r="H24" s="244"/>
      <c r="I24" s="244"/>
      <c r="J24" s="244"/>
      <c r="K24" s="244"/>
      <c r="L24" s="244"/>
      <c r="M24" s="244"/>
      <c r="N24" s="244"/>
      <c r="O24" s="245"/>
      <c r="P24" s="244"/>
      <c r="Q24" s="244"/>
      <c r="R24" s="244"/>
      <c r="S24" s="244"/>
      <c r="T24" s="244"/>
      <c r="U24" s="244"/>
    </row>
    <row r="25" spans="1:21">
      <c r="A25" s="13"/>
      <c r="B25" s="13"/>
      <c r="C25" s="176" t="s">
        <v>108</v>
      </c>
      <c r="D25" s="172">
        <v>2026</v>
      </c>
      <c r="E25" s="172">
        <f>D25</f>
        <v>2026</v>
      </c>
      <c r="F25" s="13"/>
      <c r="G25" s="243"/>
      <c r="H25" s="244"/>
      <c r="I25" s="244"/>
      <c r="J25" s="244"/>
      <c r="K25" s="244"/>
      <c r="L25" s="244"/>
      <c r="M25" s="244"/>
      <c r="N25" s="244"/>
      <c r="O25" s="244"/>
      <c r="P25" s="244"/>
      <c r="Q25" s="244"/>
      <c r="R25" s="244"/>
      <c r="S25" s="244"/>
      <c r="T25" s="244"/>
      <c r="U25" s="244"/>
    </row>
    <row r="26" spans="1:21">
      <c r="A26" s="13"/>
      <c r="B26" s="13"/>
      <c r="C26" s="102" t="s">
        <v>183</v>
      </c>
      <c r="D26" s="104">
        <v>0</v>
      </c>
      <c r="E26" s="141">
        <f>-IF(AND(E14="Yes",D11="Yes"),(E10+E11+E13)*E21,IF(AND(E14="Yes",D11="No"),(E10+E13)*E21,IF(AND(E14="No",D11="Yes"),(E10+E11)*E21,E10*E21)))</f>
        <v>-72000.000000000015</v>
      </c>
      <c r="F26" s="253"/>
      <c r="G26" s="243"/>
      <c r="H26" s="244"/>
      <c r="I26" s="244"/>
      <c r="J26" s="244"/>
      <c r="K26" s="244"/>
      <c r="L26" s="244"/>
      <c r="M26" s="247"/>
      <c r="N26" s="244"/>
      <c r="O26" s="244"/>
      <c r="P26" s="244"/>
      <c r="Q26" s="244"/>
      <c r="R26" s="244"/>
      <c r="S26" s="244"/>
      <c r="T26" s="244"/>
      <c r="U26" s="244"/>
    </row>
    <row r="27" spans="1:21">
      <c r="A27" s="13"/>
      <c r="B27" s="13"/>
      <c r="C27" s="102"/>
      <c r="D27" s="112"/>
      <c r="E27" s="112"/>
      <c r="F27" s="13"/>
      <c r="G27" s="243"/>
      <c r="H27" s="244"/>
      <c r="I27" s="244"/>
      <c r="J27" s="244"/>
      <c r="K27" s="244"/>
      <c r="L27" s="244"/>
      <c r="M27" s="244"/>
      <c r="N27" s="244"/>
      <c r="O27" s="244"/>
      <c r="P27" s="244"/>
      <c r="Q27" s="244"/>
      <c r="R27" s="244"/>
      <c r="S27" s="244"/>
      <c r="T27" s="244"/>
      <c r="U27" s="244"/>
    </row>
    <row r="28" spans="1:21">
      <c r="A28" s="13"/>
      <c r="B28" s="13"/>
      <c r="C28" s="176" t="s">
        <v>110</v>
      </c>
      <c r="D28" s="174">
        <f>D20+10</f>
        <v>2034</v>
      </c>
      <c r="E28" s="174">
        <f>D28</f>
        <v>2034</v>
      </c>
      <c r="F28" s="13"/>
      <c r="G28" s="243"/>
      <c r="H28" s="244"/>
      <c r="I28" s="244"/>
      <c r="J28" s="244"/>
      <c r="K28" s="244"/>
      <c r="L28" s="244"/>
      <c r="M28" s="244"/>
      <c r="N28" s="244"/>
      <c r="O28" s="244"/>
      <c r="P28" s="244"/>
      <c r="Q28" s="244"/>
      <c r="R28" s="244"/>
      <c r="S28" s="244"/>
      <c r="T28" s="244"/>
      <c r="U28" s="244"/>
    </row>
    <row r="29" spans="1:21">
      <c r="A29" s="13"/>
      <c r="B29" s="13"/>
      <c r="C29" s="102" t="s">
        <v>109</v>
      </c>
      <c r="D29" s="112">
        <f>D21*(1+E15)^10</f>
        <v>591840.91864802968</v>
      </c>
      <c r="E29" s="112">
        <f>E21*(1+E16)^10</f>
        <v>591840.91864802968</v>
      </c>
      <c r="F29" s="13"/>
      <c r="G29" s="243"/>
      <c r="H29" s="244"/>
      <c r="I29" s="244"/>
      <c r="J29" s="244"/>
      <c r="K29" s="244"/>
      <c r="L29" s="244"/>
      <c r="M29" s="247"/>
      <c r="N29" s="247"/>
      <c r="O29" s="244"/>
      <c r="P29" s="244"/>
      <c r="Q29" s="244"/>
      <c r="R29" s="244"/>
      <c r="S29" s="244"/>
      <c r="T29" s="244"/>
      <c r="U29" s="244"/>
    </row>
    <row r="30" spans="1:21" ht="16.5">
      <c r="A30" s="13"/>
      <c r="B30" s="13"/>
      <c r="C30" s="102" t="s">
        <v>104</v>
      </c>
      <c r="D30" s="113">
        <f>-IF(D13="washington",MAX(D29-D21-250000,0),D29-D21)*E13-((E10+IF(D11="yes",E11,0))*(D29-D21))</f>
        <v>-98450.184570632555</v>
      </c>
      <c r="E30" s="113">
        <f>-IF(E14="YES",0,IF(D13="Washington",MAX(E29-E21-250000,0)*E13,IF(D13="New York",0,(E29-E21))*E13))</f>
        <v>0</v>
      </c>
      <c r="F30" s="13"/>
      <c r="G30" s="243"/>
      <c r="H30" s="244"/>
      <c r="I30" s="244"/>
      <c r="J30" s="244"/>
      <c r="K30" s="244"/>
      <c r="L30" s="244"/>
      <c r="M30" s="246"/>
      <c r="N30" s="246"/>
      <c r="O30" s="244"/>
      <c r="P30" s="244"/>
      <c r="Q30" s="244"/>
      <c r="R30" s="244"/>
      <c r="S30" s="244"/>
      <c r="T30" s="244"/>
      <c r="U30" s="244"/>
    </row>
    <row r="31" spans="1:21">
      <c r="A31" s="13"/>
      <c r="B31" s="13"/>
      <c r="C31" s="102" t="s">
        <v>111</v>
      </c>
      <c r="D31" s="114">
        <f>D29+D30</f>
        <v>493390.73407739715</v>
      </c>
      <c r="E31" s="114">
        <f>E29+E30</f>
        <v>591840.91864802968</v>
      </c>
      <c r="F31" s="13"/>
      <c r="G31" s="243"/>
      <c r="H31" s="244"/>
      <c r="I31" s="244"/>
      <c r="J31" s="244"/>
      <c r="K31" s="244"/>
      <c r="L31" s="244"/>
      <c r="M31" s="244"/>
      <c r="N31" s="244"/>
      <c r="O31" s="244"/>
      <c r="P31" s="244"/>
      <c r="Q31" s="244"/>
      <c r="R31" s="244"/>
      <c r="S31" s="244"/>
      <c r="T31" s="244"/>
      <c r="U31" s="244"/>
    </row>
    <row r="32" spans="1:21" ht="38.1" customHeight="1" thickBot="1">
      <c r="A32" s="13"/>
      <c r="B32" s="13"/>
      <c r="C32" s="13"/>
      <c r="D32" s="13"/>
      <c r="E32" s="13"/>
      <c r="F32" s="13"/>
      <c r="G32" s="243"/>
      <c r="H32" s="244"/>
      <c r="I32" s="244"/>
      <c r="J32" s="244"/>
      <c r="K32" s="244"/>
      <c r="L32" s="244"/>
      <c r="M32" s="244"/>
      <c r="N32" s="244"/>
      <c r="O32" s="244"/>
      <c r="P32" s="244"/>
      <c r="Q32" s="244"/>
      <c r="R32" s="244"/>
      <c r="S32" s="244"/>
      <c r="T32" s="244"/>
      <c r="U32" s="244"/>
    </row>
    <row r="33" spans="1:21" ht="23.1" customHeight="1">
      <c r="A33" s="13"/>
      <c r="B33" s="13"/>
      <c r="C33" s="208" t="s">
        <v>122</v>
      </c>
      <c r="D33" s="209"/>
      <c r="E33" s="210"/>
      <c r="F33" s="13"/>
      <c r="G33" s="243"/>
      <c r="H33" s="244"/>
      <c r="I33" s="244"/>
      <c r="J33" s="244"/>
      <c r="K33" s="244"/>
      <c r="L33" s="244"/>
      <c r="M33" s="244"/>
      <c r="N33" s="244"/>
      <c r="O33" s="244"/>
      <c r="P33" s="244"/>
      <c r="Q33" s="244"/>
      <c r="R33" s="244"/>
      <c r="S33" s="244"/>
      <c r="T33" s="244"/>
      <c r="U33" s="244"/>
    </row>
    <row r="34" spans="1:21">
      <c r="A34" s="13"/>
      <c r="B34" s="13"/>
      <c r="C34" s="142" t="s">
        <v>112</v>
      </c>
      <c r="D34" s="127">
        <f>D21</f>
        <v>250000</v>
      </c>
      <c r="E34" s="143">
        <f>E21</f>
        <v>250000</v>
      </c>
      <c r="F34" s="13"/>
      <c r="G34" s="13"/>
      <c r="H34" s="248"/>
      <c r="I34" s="244"/>
      <c r="J34" s="244"/>
      <c r="K34" s="244"/>
      <c r="L34" s="244"/>
      <c r="M34" s="244"/>
      <c r="N34" s="244"/>
      <c r="O34" s="244"/>
      <c r="P34" s="244"/>
      <c r="Q34" s="244"/>
      <c r="R34" s="244"/>
      <c r="S34" s="244"/>
      <c r="T34" s="244"/>
      <c r="U34" s="244"/>
    </row>
    <row r="35" spans="1:21">
      <c r="A35" s="13"/>
      <c r="B35" s="13"/>
      <c r="C35" s="144" t="s">
        <v>113</v>
      </c>
      <c r="D35" s="116">
        <f>D29-D21</f>
        <v>341840.91864802968</v>
      </c>
      <c r="E35" s="145">
        <f>E29-E34</f>
        <v>341840.91864802968</v>
      </c>
      <c r="F35" s="13"/>
      <c r="G35" s="13"/>
      <c r="H35" s="244"/>
      <c r="I35" s="244"/>
      <c r="J35" s="244"/>
      <c r="K35" s="244"/>
      <c r="L35" s="244"/>
      <c r="M35" s="244"/>
      <c r="N35" s="244"/>
      <c r="O35" s="244"/>
      <c r="P35" s="244"/>
      <c r="Q35" s="244"/>
      <c r="R35" s="244"/>
      <c r="S35" s="244"/>
      <c r="T35" s="244"/>
      <c r="U35" s="244"/>
    </row>
    <row r="36" spans="1:21" ht="16.5">
      <c r="A36" s="13"/>
      <c r="B36" s="13"/>
      <c r="C36" s="144" t="s">
        <v>114</v>
      </c>
      <c r="D36" s="105">
        <f>D30+D23</f>
        <v>-170450.18457063255</v>
      </c>
      <c r="E36" s="146">
        <f>+E30+E26+E23</f>
        <v>-72000.000000000015</v>
      </c>
      <c r="F36" s="13"/>
      <c r="G36" s="13"/>
      <c r="H36" s="244"/>
      <c r="I36" s="246">
        <f>E42</f>
        <v>2.3459258414923134E-2</v>
      </c>
      <c r="J36" s="244"/>
      <c r="K36" s="245">
        <f>E38</f>
        <v>98450.184570632526</v>
      </c>
      <c r="L36" s="244"/>
      <c r="M36" s="244"/>
      <c r="N36" s="244"/>
      <c r="O36" s="244"/>
      <c r="P36" s="244"/>
      <c r="Q36" s="244"/>
      <c r="R36" s="244"/>
      <c r="S36" s="244"/>
      <c r="T36" s="244"/>
      <c r="U36" s="244"/>
    </row>
    <row r="37" spans="1:21">
      <c r="A37" s="13"/>
      <c r="B37" s="13"/>
      <c r="C37" s="144" t="s">
        <v>115</v>
      </c>
      <c r="D37" s="115">
        <f>D34+D35+D36</f>
        <v>421390.73407739715</v>
      </c>
      <c r="E37" s="147">
        <f>E34+E35+E36</f>
        <v>519840.91864802968</v>
      </c>
      <c r="F37" s="13"/>
      <c r="G37" s="13"/>
      <c r="H37" s="244">
        <v>0.03</v>
      </c>
      <c r="I37" s="246">
        <f t="dataTable" ref="I37:I39" dt2D="0" dtr="0" r1="E15" ca="1"/>
        <v>7.9642461518060204E-3</v>
      </c>
      <c r="J37" s="244">
        <v>0.03</v>
      </c>
      <c r="K37" s="249">
        <f t="dataTable" ref="K37:K39" dt2D="0" dtr="0" r1="E15"/>
        <v>24761.979312776763</v>
      </c>
      <c r="L37" s="244"/>
      <c r="M37" s="244"/>
      <c r="N37" s="244"/>
      <c r="O37" s="244"/>
      <c r="P37" s="244"/>
      <c r="Q37" s="244"/>
      <c r="R37" s="244"/>
      <c r="S37" s="244"/>
      <c r="T37" s="244"/>
      <c r="U37" s="244"/>
    </row>
    <row r="38" spans="1:21" ht="15">
      <c r="A38" s="13"/>
      <c r="B38" s="13"/>
      <c r="C38" s="148" t="s">
        <v>120</v>
      </c>
      <c r="D38" s="106"/>
      <c r="E38" s="149">
        <f>E37-D37</f>
        <v>98450.184570632526</v>
      </c>
      <c r="F38" s="102"/>
      <c r="G38" s="13"/>
      <c r="H38" s="244">
        <v>0.06</v>
      </c>
      <c r="I38" s="246">
        <v>1.6310203865023798E-2</v>
      </c>
      <c r="J38" s="244">
        <v>0.06</v>
      </c>
      <c r="K38" s="249">
        <v>56941.034151085536</v>
      </c>
      <c r="L38" s="244"/>
      <c r="M38" s="244"/>
      <c r="N38" s="244"/>
      <c r="O38" s="244"/>
      <c r="P38" s="244"/>
      <c r="Q38" s="244"/>
      <c r="R38" s="244"/>
      <c r="S38" s="244"/>
      <c r="T38" s="244"/>
      <c r="U38" s="244"/>
    </row>
    <row r="39" spans="1:21" ht="15">
      <c r="A39" s="13"/>
      <c r="B39" s="13"/>
      <c r="C39" s="150" t="s">
        <v>123</v>
      </c>
      <c r="D39" s="107"/>
      <c r="E39" s="151">
        <f>(E37-D37)/D37</f>
        <v>0.23363158372758644</v>
      </c>
      <c r="F39" s="108"/>
      <c r="G39" s="13"/>
      <c r="H39" s="244">
        <v>0.09</v>
      </c>
      <c r="I39" s="246">
        <v>2.3459258414923134E-2</v>
      </c>
      <c r="J39" s="244">
        <v>0.09</v>
      </c>
      <c r="K39" s="249">
        <v>98450.184570632526</v>
      </c>
      <c r="L39" s="244"/>
      <c r="M39" s="244"/>
      <c r="N39" s="244"/>
      <c r="O39" s="244"/>
      <c r="P39" s="244"/>
      <c r="Q39" s="244"/>
      <c r="R39" s="244"/>
      <c r="S39" s="244"/>
      <c r="T39" s="244"/>
      <c r="U39" s="244"/>
    </row>
    <row r="40" spans="1:21">
      <c r="A40" s="13"/>
      <c r="B40" s="13"/>
      <c r="C40" s="144" t="s">
        <v>191</v>
      </c>
      <c r="D40" s="104"/>
      <c r="E40" s="152">
        <f>D61</f>
        <v>4.3598657496332516E-2</v>
      </c>
      <c r="F40" s="108"/>
      <c r="G40" s="13"/>
      <c r="H40" s="244"/>
      <c r="I40" s="244"/>
      <c r="J40" s="244"/>
      <c r="K40" s="244"/>
      <c r="L40" s="244"/>
      <c r="M40" s="244"/>
      <c r="N40" s="244"/>
      <c r="O40" s="244"/>
      <c r="P40" s="244"/>
      <c r="Q40" s="244"/>
      <c r="R40" s="244"/>
      <c r="S40" s="244"/>
      <c r="T40" s="244"/>
      <c r="U40" s="244"/>
    </row>
    <row r="41" spans="1:21">
      <c r="A41" s="13"/>
      <c r="B41" s="13"/>
      <c r="C41" s="144" t="s">
        <v>192</v>
      </c>
      <c r="D41" s="104"/>
      <c r="E41" s="152">
        <f>E61</f>
        <v>6.705791591125565E-2</v>
      </c>
      <c r="F41" s="108"/>
      <c r="G41" s="13"/>
      <c r="H41" s="244"/>
      <c r="I41" s="244"/>
      <c r="J41" s="244"/>
      <c r="K41" s="244"/>
      <c r="L41" s="244"/>
      <c r="M41" s="244"/>
      <c r="N41" s="244"/>
      <c r="O41" s="244"/>
      <c r="P41" s="244"/>
      <c r="Q41" s="244"/>
      <c r="R41" s="244"/>
      <c r="S41" s="244"/>
      <c r="T41" s="244"/>
      <c r="U41" s="244"/>
    </row>
    <row r="42" spans="1:21" ht="15.75" thickBot="1">
      <c r="A42" s="13"/>
      <c r="B42" s="13"/>
      <c r="C42" s="153" t="s">
        <v>218</v>
      </c>
      <c r="D42" s="154"/>
      <c r="E42" s="155">
        <f>E41-E40</f>
        <v>2.3459258414923134E-2</v>
      </c>
      <c r="F42" s="108"/>
      <c r="G42" s="13"/>
      <c r="H42" s="244"/>
      <c r="I42" s="244"/>
      <c r="J42" s="244"/>
      <c r="K42" s="244"/>
      <c r="L42" s="244"/>
      <c r="M42" s="244"/>
      <c r="N42" s="244"/>
      <c r="O42" s="244"/>
      <c r="P42" s="244"/>
      <c r="Q42" s="244"/>
      <c r="R42" s="244"/>
      <c r="S42" s="244"/>
      <c r="T42" s="244"/>
      <c r="U42" s="244"/>
    </row>
    <row r="43" spans="1:21" ht="16.5" customHeight="1">
      <c r="A43" s="13"/>
      <c r="B43" s="13"/>
      <c r="C43" s="102"/>
      <c r="D43" s="109"/>
      <c r="E43" s="109"/>
      <c r="F43" s="13"/>
      <c r="G43" s="13"/>
      <c r="H43" s="244"/>
      <c r="I43" s="244"/>
      <c r="J43" s="244"/>
      <c r="K43" s="244"/>
      <c r="L43" s="244"/>
      <c r="M43" s="244"/>
      <c r="N43" s="244"/>
      <c r="O43" s="244"/>
      <c r="P43" s="244"/>
      <c r="Q43" s="244"/>
      <c r="R43" s="244"/>
      <c r="S43" s="244"/>
      <c r="T43" s="244"/>
      <c r="U43" s="244"/>
    </row>
    <row r="44" spans="1:21" ht="16.350000000000001" customHeight="1">
      <c r="A44" s="13"/>
      <c r="B44" s="215" t="s">
        <v>176</v>
      </c>
      <c r="C44" s="216"/>
      <c r="D44" s="216"/>
      <c r="E44" s="216"/>
      <c r="F44" s="217"/>
      <c r="G44" s="13"/>
      <c r="H44" s="244"/>
      <c r="I44" s="244"/>
      <c r="J44" s="244"/>
      <c r="K44" s="244"/>
      <c r="L44" s="244"/>
      <c r="M44" s="244"/>
      <c r="N44" s="244"/>
      <c r="O44" s="244"/>
      <c r="P44" s="244"/>
      <c r="Q44" s="244"/>
      <c r="R44" s="244"/>
      <c r="S44" s="244"/>
      <c r="T44" s="244"/>
      <c r="U44" s="244"/>
    </row>
    <row r="45" spans="1:21" ht="3" customHeight="1">
      <c r="A45" s="13"/>
      <c r="B45" s="170"/>
      <c r="C45" s="13"/>
      <c r="D45" s="13"/>
      <c r="E45" s="98"/>
      <c r="F45" s="171"/>
      <c r="G45" s="13"/>
      <c r="H45" s="244"/>
      <c r="I45" s="244"/>
      <c r="J45" s="244"/>
      <c r="K45" s="244"/>
      <c r="L45" s="244"/>
      <c r="M45" s="244"/>
      <c r="N45" s="244"/>
      <c r="O45" s="244"/>
      <c r="P45" s="244"/>
      <c r="Q45" s="244"/>
      <c r="R45" s="244"/>
      <c r="S45" s="244"/>
      <c r="T45" s="244"/>
      <c r="U45" s="244"/>
    </row>
    <row r="46" spans="1:21" s="87" customFormat="1" ht="178.5" customHeight="1">
      <c r="A46" s="110"/>
      <c r="B46" s="205" t="s">
        <v>235</v>
      </c>
      <c r="C46" s="206"/>
      <c r="D46" s="206"/>
      <c r="E46" s="206"/>
      <c r="F46" s="207"/>
      <c r="G46" s="110"/>
      <c r="H46" s="250"/>
      <c r="I46" s="250"/>
      <c r="J46" s="250"/>
      <c r="K46" s="250"/>
      <c r="L46" s="250"/>
      <c r="M46" s="250"/>
      <c r="N46" s="250"/>
      <c r="O46" s="250"/>
      <c r="P46" s="250"/>
      <c r="Q46" s="250"/>
      <c r="R46" s="250"/>
      <c r="S46" s="250"/>
      <c r="T46" s="250"/>
      <c r="U46" s="250"/>
    </row>
    <row r="47" spans="1:21" s="87" customFormat="1" ht="78" customHeight="1">
      <c r="A47" s="110"/>
      <c r="B47" s="205" t="s">
        <v>223</v>
      </c>
      <c r="C47" s="206"/>
      <c r="D47" s="206"/>
      <c r="E47" s="206"/>
      <c r="F47" s="207"/>
      <c r="G47" s="110"/>
      <c r="H47" s="250"/>
      <c r="I47" s="250"/>
      <c r="J47" s="250"/>
      <c r="K47" s="250"/>
      <c r="L47" s="250"/>
      <c r="M47" s="250"/>
      <c r="N47" s="250"/>
      <c r="O47" s="250"/>
      <c r="P47" s="250"/>
      <c r="Q47" s="250"/>
      <c r="R47" s="250"/>
      <c r="S47" s="250"/>
      <c r="T47" s="250"/>
      <c r="U47" s="250"/>
    </row>
    <row r="48" spans="1:21" s="87" customFormat="1" ht="42.75" customHeight="1">
      <c r="A48" s="110"/>
      <c r="B48" s="201" t="s">
        <v>222</v>
      </c>
      <c r="C48" s="202"/>
      <c r="D48" s="202"/>
      <c r="E48" s="202"/>
      <c r="F48" s="203"/>
      <c r="G48" s="110"/>
      <c r="H48" s="250"/>
      <c r="I48" s="250"/>
      <c r="J48" s="250"/>
      <c r="K48" s="250"/>
      <c r="L48" s="250"/>
      <c r="M48" s="250"/>
      <c r="N48" s="250"/>
      <c r="O48" s="250"/>
      <c r="P48" s="250"/>
      <c r="Q48" s="250"/>
      <c r="R48" s="250"/>
      <c r="S48" s="250"/>
      <c r="T48" s="250"/>
      <c r="U48" s="250"/>
    </row>
    <row r="49" spans="1:21" s="87" customFormat="1" ht="30.75" customHeight="1">
      <c r="A49" s="110"/>
      <c r="B49" s="222" t="s">
        <v>219</v>
      </c>
      <c r="C49" s="223"/>
      <c r="D49" s="223"/>
      <c r="E49" s="223"/>
      <c r="F49" s="224"/>
      <c r="G49" s="110"/>
      <c r="H49" s="250"/>
      <c r="I49" s="250"/>
      <c r="J49" s="250"/>
      <c r="K49" s="250"/>
      <c r="L49" s="250"/>
      <c r="M49" s="250"/>
      <c r="N49" s="250"/>
      <c r="O49" s="250"/>
      <c r="P49" s="250"/>
      <c r="Q49" s="250"/>
      <c r="R49" s="250"/>
      <c r="S49" s="250"/>
      <c r="T49" s="250"/>
      <c r="U49" s="250"/>
    </row>
    <row r="50" spans="1:21" s="87" customFormat="1" ht="42.95" customHeight="1">
      <c r="A50" s="110"/>
      <c r="B50" s="222" t="str">
        <f>"- If the Non-QOF Private Placement Investment and QOF Investment each were to achieve a 6.0% IRR instead of a 9% IRR, the resulting Net After-Tax IRR Benefit of the QOF Investment drops from "&amp;TEXT(I39,"0.00%")&amp;" to "&amp;TEXT(I38,"0.00%")&amp;" with an after-tax difference of "&amp;TEXT(K38,"$0,000")&amp;" between the two investments."</f>
        <v>- If the Non-QOF Private Placement Investment and QOF Investment each were to achieve a 6.0% IRR instead of a 9% IRR, the resulting Net After-Tax IRR Benefit of the QOF Investment drops from 2.35% to 1.63% with an after-tax difference of $56,941 between the two investments.</v>
      </c>
      <c r="C50" s="223"/>
      <c r="D50" s="223"/>
      <c r="E50" s="223"/>
      <c r="F50" s="224"/>
      <c r="G50" s="110"/>
      <c r="H50" s="250"/>
      <c r="I50" s="250"/>
      <c r="J50" s="250"/>
      <c r="K50" s="250"/>
      <c r="L50" s="250"/>
      <c r="M50" s="250"/>
      <c r="N50" s="250"/>
      <c r="O50" s="250"/>
      <c r="P50" s="250"/>
      <c r="Q50" s="250"/>
      <c r="R50" s="250"/>
      <c r="S50" s="250"/>
      <c r="T50" s="250"/>
      <c r="U50" s="250"/>
    </row>
    <row r="51" spans="1:21" s="87" customFormat="1" ht="29.1" customHeight="1">
      <c r="A51" s="110"/>
      <c r="B51" s="222" t="str">
        <f>"- If each were to achieve a 3% IRR, the resulting Net After-Tax IRR Benefit of the QOF Investment drops to "&amp;TEXT(I37,"0.00%")&amp;" with an after-tax difference of "&amp;TEXT(K37,"$0,000")&amp;"."</f>
        <v>- If each were to achieve a 3% IRR, the resulting Net After-Tax IRR Benefit of the QOF Investment drops to 0.80% with an after-tax difference of $24,762.</v>
      </c>
      <c r="C51" s="223"/>
      <c r="D51" s="223"/>
      <c r="E51" s="223"/>
      <c r="F51" s="224"/>
      <c r="G51" s="110"/>
      <c r="H51" s="250"/>
      <c r="I51" s="250"/>
      <c r="J51" s="250"/>
      <c r="K51" s="250"/>
      <c r="L51" s="250"/>
      <c r="M51" s="250"/>
      <c r="N51" s="250"/>
      <c r="O51" s="250"/>
      <c r="P51" s="250"/>
      <c r="Q51" s="250"/>
      <c r="R51" s="250"/>
      <c r="S51" s="250"/>
      <c r="T51" s="250"/>
      <c r="U51" s="250"/>
    </row>
    <row r="52" spans="1:21" s="88" customFormat="1" ht="22.35" customHeight="1">
      <c r="A52" s="111"/>
      <c r="B52" s="201" t="s">
        <v>202</v>
      </c>
      <c r="C52" s="202"/>
      <c r="D52" s="202"/>
      <c r="E52" s="202"/>
      <c r="F52" s="203"/>
      <c r="G52" s="111"/>
      <c r="H52" s="251"/>
      <c r="I52" s="251"/>
      <c r="J52" s="251"/>
      <c r="K52" s="251"/>
      <c r="L52" s="251"/>
      <c r="M52" s="251"/>
      <c r="N52" s="251"/>
      <c r="O52" s="251"/>
      <c r="P52" s="251"/>
      <c r="Q52" s="251"/>
      <c r="R52" s="251"/>
      <c r="S52" s="251"/>
      <c r="T52" s="251"/>
      <c r="U52" s="251"/>
    </row>
    <row r="53" spans="1:21" s="88" customFormat="1" ht="41.25" customHeight="1">
      <c r="A53" s="111"/>
      <c r="B53" s="198" t="s">
        <v>206</v>
      </c>
      <c r="C53" s="199"/>
      <c r="D53" s="199"/>
      <c r="E53" s="199"/>
      <c r="F53" s="200"/>
      <c r="G53" s="111"/>
      <c r="H53" s="251"/>
      <c r="I53" s="251"/>
      <c r="J53" s="251"/>
      <c r="K53" s="251"/>
      <c r="L53" s="251"/>
      <c r="M53" s="251"/>
      <c r="N53" s="251"/>
      <c r="O53" s="251"/>
      <c r="P53" s="251"/>
      <c r="Q53" s="251"/>
      <c r="R53" s="251"/>
      <c r="S53" s="251"/>
      <c r="T53" s="251"/>
      <c r="U53" s="251"/>
    </row>
    <row r="54" spans="1:21" s="88" customFormat="1" ht="33" customHeight="1">
      <c r="A54" s="111"/>
      <c r="B54" s="198" t="s">
        <v>180</v>
      </c>
      <c r="C54" s="199"/>
      <c r="D54" s="199"/>
      <c r="E54" s="199"/>
      <c r="F54" s="200"/>
      <c r="G54" s="111"/>
      <c r="H54" s="251"/>
      <c r="I54" s="251"/>
      <c r="J54" s="251"/>
      <c r="K54" s="251"/>
      <c r="L54" s="251"/>
      <c r="M54" s="251"/>
      <c r="N54" s="251"/>
      <c r="O54" s="251"/>
      <c r="P54" s="251"/>
      <c r="Q54" s="251"/>
      <c r="R54" s="251"/>
      <c r="S54" s="251"/>
      <c r="T54" s="251"/>
      <c r="U54" s="251"/>
    </row>
    <row r="55" spans="1:21" s="88" customFormat="1" ht="42" customHeight="1">
      <c r="A55" s="111"/>
      <c r="B55" s="218" t="s">
        <v>181</v>
      </c>
      <c r="C55" s="219"/>
      <c r="D55" s="219"/>
      <c r="E55" s="219"/>
      <c r="F55" s="220"/>
      <c r="G55" s="111"/>
      <c r="H55" s="251"/>
      <c r="I55" s="251"/>
      <c r="J55" s="251"/>
      <c r="K55" s="251"/>
      <c r="L55" s="251"/>
      <c r="M55" s="251"/>
      <c r="N55" s="251"/>
      <c r="O55" s="251"/>
      <c r="P55" s="251"/>
      <c r="Q55" s="251"/>
      <c r="R55" s="251"/>
      <c r="S55" s="251"/>
      <c r="T55" s="251"/>
      <c r="U55" s="251"/>
    </row>
    <row r="56" spans="1:21" ht="23.45" hidden="1" customHeight="1">
      <c r="B56" s="221" t="s">
        <v>182</v>
      </c>
      <c r="C56" s="221"/>
      <c r="D56" s="221"/>
      <c r="E56" s="221"/>
      <c r="F56" s="221"/>
      <c r="H56" s="244"/>
      <c r="I56" s="244"/>
      <c r="J56" s="244"/>
      <c r="K56" s="244"/>
      <c r="L56" s="244"/>
      <c r="M56" s="244"/>
      <c r="N56" s="244"/>
      <c r="O56" s="244"/>
      <c r="P56" s="244"/>
      <c r="Q56" s="244"/>
      <c r="R56" s="244"/>
      <c r="S56" s="244"/>
      <c r="T56" s="244"/>
      <c r="U56" s="244"/>
    </row>
    <row r="57" spans="1:21" hidden="1">
      <c r="B57" s="89"/>
      <c r="C57" s="90"/>
      <c r="D57" s="90"/>
      <c r="E57" s="90"/>
      <c r="F57" s="89"/>
      <c r="H57" s="244"/>
      <c r="I57" s="244"/>
      <c r="J57" s="244"/>
      <c r="K57" s="244"/>
      <c r="L57" s="244"/>
      <c r="M57" s="244"/>
      <c r="N57" s="244"/>
      <c r="O57" s="244"/>
      <c r="P57" s="244"/>
      <c r="Q57" s="244"/>
      <c r="R57" s="244"/>
      <c r="S57" s="244"/>
      <c r="T57" s="244"/>
      <c r="U57" s="244"/>
    </row>
    <row r="58" spans="1:21" hidden="1">
      <c r="B58" s="89"/>
      <c r="C58" s="238" t="s">
        <v>116</v>
      </c>
      <c r="D58" s="238"/>
      <c r="E58" s="238"/>
      <c r="F58" s="89"/>
      <c r="H58" s="244"/>
      <c r="I58" s="244"/>
      <c r="J58" s="244"/>
      <c r="K58" s="244"/>
      <c r="L58" s="244"/>
      <c r="M58" s="244"/>
      <c r="N58" s="244"/>
      <c r="O58" s="244"/>
      <c r="P58" s="244"/>
      <c r="Q58" s="244"/>
      <c r="R58" s="244"/>
      <c r="S58" s="244"/>
      <c r="T58" s="244"/>
      <c r="U58" s="244"/>
    </row>
    <row r="59" spans="1:21" ht="15" hidden="1">
      <c r="B59" s="89"/>
      <c r="C59" s="237"/>
      <c r="D59" s="239" t="s">
        <v>189</v>
      </c>
      <c r="E59" s="239"/>
      <c r="F59" s="89"/>
      <c r="H59" s="244"/>
      <c r="I59" s="244"/>
      <c r="J59" s="244"/>
      <c r="K59" s="244"/>
      <c r="L59" s="244"/>
      <c r="M59" s="244"/>
      <c r="N59" s="244"/>
      <c r="O59" s="244"/>
      <c r="P59" s="244"/>
      <c r="Q59" s="244"/>
      <c r="R59" s="244"/>
      <c r="S59" s="244"/>
      <c r="T59" s="244"/>
      <c r="U59" s="244"/>
    </row>
    <row r="60" spans="1:21" ht="30" hidden="1" customHeight="1">
      <c r="B60" s="89"/>
      <c r="C60" s="237"/>
      <c r="D60" s="240" t="s">
        <v>193</v>
      </c>
      <c r="E60" s="240" t="s">
        <v>194</v>
      </c>
      <c r="F60" s="89"/>
      <c r="H60" s="244"/>
      <c r="I60" s="244"/>
      <c r="J60" s="244"/>
      <c r="K60" s="244"/>
      <c r="L60" s="244"/>
      <c r="M60" s="244"/>
      <c r="N60" s="244"/>
      <c r="O60" s="244"/>
      <c r="P60" s="244"/>
      <c r="Q60" s="244"/>
      <c r="R60" s="244"/>
      <c r="S60" s="244"/>
      <c r="T60" s="244"/>
      <c r="U60" s="244"/>
    </row>
    <row r="61" spans="1:21" ht="15" hidden="1">
      <c r="B61" s="89"/>
      <c r="C61" s="241" t="s">
        <v>118</v>
      </c>
      <c r="D61" s="91">
        <f>IRR(D66:D79)</f>
        <v>4.3598657496332516E-2</v>
      </c>
      <c r="E61" s="91">
        <f>IRR(E66:E79)</f>
        <v>6.705791591125565E-2</v>
      </c>
      <c r="F61" s="89"/>
      <c r="H61" s="252"/>
      <c r="I61" s="244"/>
      <c r="J61" s="244"/>
      <c r="K61" s="244"/>
      <c r="L61" s="244"/>
      <c r="M61" s="244"/>
      <c r="N61" s="244"/>
      <c r="O61" s="244"/>
      <c r="P61" s="244"/>
      <c r="Q61" s="244"/>
      <c r="R61" s="244"/>
      <c r="S61" s="244"/>
      <c r="T61" s="244"/>
      <c r="U61" s="244"/>
    </row>
    <row r="62" spans="1:21" hidden="1">
      <c r="B62" s="89"/>
      <c r="C62" s="241" t="s">
        <v>47</v>
      </c>
      <c r="D62" s="242"/>
      <c r="E62" s="242">
        <f>IF($D$20=2019,-$E$21+E23,0)</f>
        <v>0</v>
      </c>
      <c r="F62" s="89"/>
      <c r="H62" s="244"/>
      <c r="I62" s="244"/>
      <c r="J62" s="244"/>
      <c r="K62" s="244"/>
      <c r="L62" s="244"/>
      <c r="M62" s="244"/>
      <c r="N62" s="244"/>
      <c r="O62" s="244"/>
      <c r="P62" s="244"/>
      <c r="Q62" s="244"/>
      <c r="R62" s="244"/>
      <c r="S62" s="244"/>
      <c r="T62" s="244"/>
      <c r="U62" s="244"/>
    </row>
    <row r="63" spans="1:21" hidden="1">
      <c r="B63" s="89"/>
      <c r="C63" s="237">
        <v>2020</v>
      </c>
      <c r="D63" s="242">
        <f>IF($D$20=2020,-$D$21+$D$23,0)</f>
        <v>0</v>
      </c>
      <c r="E63" s="242">
        <f>IF($D$20=2020,-$E$21+$E$23,0)</f>
        <v>0</v>
      </c>
      <c r="F63" s="89"/>
      <c r="G63" s="138"/>
      <c r="H63" s="244"/>
      <c r="I63" s="244"/>
      <c r="J63" s="244"/>
      <c r="K63" s="244"/>
      <c r="L63" s="244"/>
      <c r="M63" s="244"/>
      <c r="N63" s="244"/>
      <c r="O63" s="244"/>
      <c r="P63" s="244"/>
      <c r="Q63" s="244"/>
      <c r="R63" s="244"/>
      <c r="S63" s="244"/>
      <c r="T63" s="244"/>
      <c r="U63" s="244"/>
    </row>
    <row r="64" spans="1:21" hidden="1">
      <c r="B64" s="89"/>
      <c r="C64" s="237">
        <f>C63+1</f>
        <v>2021</v>
      </c>
      <c r="D64" s="242">
        <f>IF($D$20=2021,-$D$21+$D$23,0)</f>
        <v>0</v>
      </c>
      <c r="E64" s="242">
        <f>IF($D$20=2021,-$E$21+$E$23,0)</f>
        <v>0</v>
      </c>
      <c r="F64" s="89"/>
      <c r="H64" s="244"/>
      <c r="I64" s="244"/>
      <c r="J64" s="244"/>
      <c r="K64" s="244"/>
      <c r="L64" s="244"/>
      <c r="M64" s="244"/>
      <c r="N64" s="244"/>
      <c r="O64" s="244"/>
      <c r="P64" s="244"/>
      <c r="Q64" s="244"/>
      <c r="R64" s="244"/>
      <c r="S64" s="244"/>
      <c r="T64" s="244"/>
      <c r="U64" s="244"/>
    </row>
    <row r="65" spans="2:21" hidden="1">
      <c r="B65" s="89"/>
      <c r="C65" s="237">
        <f t="shared" ref="C65:C74" si="0">C64+1</f>
        <v>2022</v>
      </c>
      <c r="D65" s="242">
        <f>IF($D$20=2022,-$D$21+$D$23,0)</f>
        <v>0</v>
      </c>
      <c r="E65" s="242">
        <f>IF($D$20=2022,-$E$21+$E$23,0)</f>
        <v>0</v>
      </c>
      <c r="F65" s="89"/>
      <c r="G65" s="156"/>
      <c r="H65" s="246"/>
      <c r="I65" s="244"/>
      <c r="J65" s="244"/>
      <c r="K65" s="244"/>
      <c r="L65" s="244"/>
      <c r="M65" s="244"/>
      <c r="N65" s="244"/>
      <c r="O65" s="244"/>
      <c r="P65" s="244"/>
      <c r="Q65" s="244"/>
      <c r="R65" s="244"/>
      <c r="S65" s="244"/>
      <c r="T65" s="244"/>
      <c r="U65" s="244"/>
    </row>
    <row r="66" spans="2:21" hidden="1">
      <c r="B66" s="89"/>
      <c r="C66" s="237">
        <f t="shared" si="0"/>
        <v>2023</v>
      </c>
      <c r="D66" s="242">
        <f>IF($D$20=2023,-$D$21+$D$23,0)</f>
        <v>0</v>
      </c>
      <c r="E66" s="242">
        <f>IF($D$20=2023,-$E$21+$E$23,0)</f>
        <v>0</v>
      </c>
      <c r="F66" s="89"/>
      <c r="H66" s="244"/>
      <c r="I66" s="244"/>
      <c r="J66" s="244"/>
      <c r="K66" s="244"/>
      <c r="L66" s="244"/>
      <c r="M66" s="244"/>
      <c r="N66" s="244"/>
      <c r="O66" s="244"/>
      <c r="P66" s="244"/>
      <c r="Q66" s="244"/>
      <c r="R66" s="244"/>
      <c r="S66" s="244"/>
      <c r="T66" s="244"/>
      <c r="U66" s="244"/>
    </row>
    <row r="67" spans="2:21" hidden="1">
      <c r="B67" s="89"/>
      <c r="C67" s="237">
        <f t="shared" si="0"/>
        <v>2024</v>
      </c>
      <c r="D67" s="242">
        <f>IF($D$20=2024,-$D$21+$D$23,0)</f>
        <v>-322000</v>
      </c>
      <c r="E67" s="169">
        <f>IF($D$20=2024,-$E$21+$E$23,0)</f>
        <v>-250000</v>
      </c>
      <c r="F67" s="89"/>
      <c r="H67" s="244"/>
      <c r="I67" s="244"/>
      <c r="J67" s="244"/>
      <c r="K67" s="244"/>
      <c r="L67" s="244"/>
      <c r="M67" s="244"/>
      <c r="N67" s="246"/>
      <c r="O67" s="244"/>
      <c r="P67" s="244"/>
      <c r="Q67" s="244"/>
      <c r="R67" s="244"/>
      <c r="S67" s="244"/>
      <c r="T67" s="244"/>
      <c r="U67" s="244"/>
    </row>
    <row r="68" spans="2:21" hidden="1">
      <c r="B68" s="89"/>
      <c r="C68" s="237">
        <f t="shared" si="0"/>
        <v>2025</v>
      </c>
      <c r="D68" s="242">
        <f>IF($D$20=2025,-$D$21+$D$23,0)</f>
        <v>0</v>
      </c>
      <c r="E68" s="169">
        <f>IF($D$20=2025,-$E$21+$E$23,0)</f>
        <v>0</v>
      </c>
      <c r="F68" s="89"/>
      <c r="H68" s="244"/>
      <c r="I68" s="244"/>
      <c r="J68" s="244"/>
      <c r="K68" s="244"/>
      <c r="L68" s="244"/>
      <c r="M68" s="244"/>
      <c r="N68" s="244"/>
      <c r="O68" s="244"/>
      <c r="P68" s="244"/>
      <c r="Q68" s="244"/>
      <c r="R68" s="244"/>
      <c r="S68" s="244"/>
      <c r="T68" s="244"/>
      <c r="U68" s="244"/>
    </row>
    <row r="69" spans="2:21" hidden="1">
      <c r="B69" s="89"/>
      <c r="C69" s="237">
        <f t="shared" si="0"/>
        <v>2026</v>
      </c>
      <c r="D69" s="242">
        <f>IF($D$20=2026,-$D$21+$D$23,0)</f>
        <v>0</v>
      </c>
      <c r="E69" s="169">
        <f>IF($D$20=2026,-$E$21+$E$23,0)</f>
        <v>0</v>
      </c>
      <c r="F69" s="89"/>
      <c r="H69" s="244"/>
      <c r="I69" s="244"/>
      <c r="J69" s="244"/>
      <c r="K69" s="244"/>
      <c r="L69" s="244"/>
      <c r="M69" s="244"/>
      <c r="N69" s="244"/>
      <c r="O69" s="244"/>
      <c r="P69" s="244"/>
      <c r="Q69" s="244"/>
      <c r="R69" s="244"/>
      <c r="S69" s="244"/>
      <c r="T69" s="244"/>
      <c r="U69" s="244"/>
    </row>
    <row r="70" spans="2:21" hidden="1">
      <c r="B70" s="89"/>
      <c r="C70" s="237">
        <f t="shared" si="0"/>
        <v>2027</v>
      </c>
      <c r="D70" s="242">
        <v>0</v>
      </c>
      <c r="E70" s="169">
        <f>+E26</f>
        <v>-72000.000000000015</v>
      </c>
      <c r="F70" s="89"/>
      <c r="H70" s="244"/>
      <c r="I70" s="244"/>
      <c r="J70" s="244"/>
      <c r="K70" s="244"/>
      <c r="L70" s="244"/>
      <c r="M70" s="244"/>
      <c r="N70" s="244"/>
      <c r="O70" s="244"/>
      <c r="P70" s="244"/>
      <c r="Q70" s="244"/>
      <c r="R70" s="244"/>
      <c r="S70" s="244"/>
      <c r="T70" s="244"/>
      <c r="U70" s="244"/>
    </row>
    <row r="71" spans="2:21" hidden="1">
      <c r="B71" s="89"/>
      <c r="C71" s="237">
        <f t="shared" si="0"/>
        <v>2028</v>
      </c>
      <c r="D71" s="242">
        <v>0</v>
      </c>
      <c r="E71" s="169">
        <v>0</v>
      </c>
      <c r="F71" s="89"/>
    </row>
    <row r="72" spans="2:21" hidden="1">
      <c r="B72" s="89"/>
      <c r="C72" s="237">
        <f t="shared" si="0"/>
        <v>2029</v>
      </c>
      <c r="D72" s="242">
        <f>IF($D$20=2019,$D$31,0)</f>
        <v>0</v>
      </c>
      <c r="E72" s="169">
        <f>IF($D$20=2019,$E$31,0)</f>
        <v>0</v>
      </c>
      <c r="F72" s="89"/>
    </row>
    <row r="73" spans="2:21" hidden="1">
      <c r="B73" s="89"/>
      <c r="C73" s="237">
        <f t="shared" si="0"/>
        <v>2030</v>
      </c>
      <c r="D73" s="242">
        <f>IF($D$20=2020,$D$31,0)</f>
        <v>0</v>
      </c>
      <c r="E73" s="169">
        <f>IF($D$20=2020,$E$31,0)</f>
        <v>0</v>
      </c>
      <c r="F73" s="89"/>
    </row>
    <row r="74" spans="2:21" hidden="1">
      <c r="B74" s="89"/>
      <c r="C74" s="237">
        <f t="shared" si="0"/>
        <v>2031</v>
      </c>
      <c r="D74" s="242">
        <f>IF($D$20=2021,$D$31,0)</f>
        <v>0</v>
      </c>
      <c r="E74" s="169">
        <f>IF($D$20=2021,$E$31,0)</f>
        <v>0</v>
      </c>
      <c r="F74" s="89"/>
    </row>
    <row r="75" spans="2:21" hidden="1">
      <c r="B75" s="89"/>
      <c r="C75" s="237">
        <v>2032</v>
      </c>
      <c r="D75" s="242">
        <f>IF($D$20=2022,$D$31,0)</f>
        <v>0</v>
      </c>
      <c r="E75" s="242">
        <f>IF($E$20=2022,$E$31,0)</f>
        <v>0</v>
      </c>
      <c r="F75" s="89"/>
    </row>
    <row r="76" spans="2:21" hidden="1">
      <c r="B76" s="89"/>
      <c r="C76" s="237">
        <v>2033</v>
      </c>
      <c r="D76" s="242">
        <f>IF($D$20=2023,$D$31,0)</f>
        <v>0</v>
      </c>
      <c r="E76" s="242">
        <f>IF($E$20=2023,$E$31,0)</f>
        <v>0</v>
      </c>
      <c r="F76" s="89"/>
    </row>
    <row r="77" spans="2:21" hidden="1">
      <c r="B77" s="89"/>
      <c r="C77" s="237">
        <v>2024</v>
      </c>
      <c r="D77" s="242">
        <f>IF($D$20=2024,$D$31,0)</f>
        <v>493390.73407739715</v>
      </c>
      <c r="E77" s="242">
        <f>IF($E$20=2024,$E$31,0)</f>
        <v>591840.91864802968</v>
      </c>
      <c r="F77" s="168"/>
    </row>
    <row r="78" spans="2:21" hidden="1">
      <c r="C78" s="237">
        <v>2025</v>
      </c>
      <c r="D78" s="242">
        <f>IF($D$20=2025,$D$31,0)</f>
        <v>0</v>
      </c>
      <c r="E78" s="242">
        <f>IF($E$20=2025,$E$31,0)</f>
        <v>0</v>
      </c>
    </row>
    <row r="79" spans="2:21" hidden="1">
      <c r="C79" s="168">
        <v>2026</v>
      </c>
      <c r="D79" s="242">
        <f>IF($D$20=2026,$D$31,0)</f>
        <v>0</v>
      </c>
      <c r="E79" s="242">
        <f>IF($E$20=2026,$E$31,0)</f>
        <v>0</v>
      </c>
    </row>
  </sheetData>
  <sheetProtection algorithmName="SHA-512" hashValue="3I1NXMN9cR2QiP7/2XveMOPQNILjc0yC5PaCbPuDl3U0RRu7Bkd/THPMACIgekRkxmRkXS9h7NiESZH2f3pyLg==" saltValue="RI2nvNuVfizQUfD6VuURLA==" spinCount="100000" sheet="1" selectLockedCells="1"/>
  <protectedRanges>
    <protectedRange sqref="E9 D13 E15" name="Range1"/>
  </protectedRanges>
  <mergeCells count="19">
    <mergeCell ref="C58:E58"/>
    <mergeCell ref="C3:E3"/>
    <mergeCell ref="C6:E6"/>
    <mergeCell ref="C8:E8"/>
    <mergeCell ref="B44:F44"/>
    <mergeCell ref="B46:F46"/>
    <mergeCell ref="B52:F52"/>
    <mergeCell ref="B54:F54"/>
    <mergeCell ref="B55:F55"/>
    <mergeCell ref="B56:F56"/>
    <mergeCell ref="B49:F49"/>
    <mergeCell ref="B50:F50"/>
    <mergeCell ref="B51:F51"/>
    <mergeCell ref="B53:F53"/>
    <mergeCell ref="B48:F48"/>
    <mergeCell ref="C5:E5"/>
    <mergeCell ref="C4:E4"/>
    <mergeCell ref="B47:F47"/>
    <mergeCell ref="C33:E33"/>
  </mergeCells>
  <printOptions horizontalCentered="1"/>
  <pageMargins left="0" right="0" top="0.25" bottom="0.25" header="0.3" footer="0.3"/>
  <pageSetup scale="63"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884FA52-55C5-4F76-A849-0DED2588F037}">
          <x14:formula1>
            <xm:f>'State Capital Gains Tax Rates'!$D$5:$D$55</xm:f>
          </x14:formula1>
          <xm:sqref>D13</xm:sqref>
        </x14:dataValidation>
        <x14:dataValidation type="list" allowBlank="1" showInputMessage="1" showErrorMessage="1" xr:uid="{BBD2F824-0968-4CCE-8190-9F8B6F44D900}">
          <x14:formula1>
            <xm:f>'State Capital Gains Tax Rates'!$K$17:$K$18</xm:f>
          </x14:formula1>
          <xm:sqref>D11</xm:sqref>
        </x14:dataValidation>
        <x14:dataValidation type="list" allowBlank="1" showInputMessage="1" showErrorMessage="1" xr:uid="{07BBCEC5-CA68-4FF7-AFDF-3A901755C9E7}">
          <x14:formula1>
            <xm:f>'State Capital Gains Tax Rates'!$K$13:$K$15</xm:f>
          </x14:formula1>
          <xm:sqref>D20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CEE15-064E-4192-9E3A-AA23CC60E931}">
  <dimension ref="A1:R62"/>
  <sheetViews>
    <sheetView workbookViewId="0">
      <selection activeCell="K19" sqref="K19"/>
    </sheetView>
  </sheetViews>
  <sheetFormatPr defaultColWidth="8.625" defaultRowHeight="14.25"/>
  <cols>
    <col min="4" max="4" width="19.5" customWidth="1"/>
    <col min="5" max="6" width="11.125" customWidth="1"/>
    <col min="7" max="7" width="16.875" customWidth="1"/>
    <col min="8" max="8" width="8.125" customWidth="1"/>
    <col min="9" max="9" width="19.125" style="178" customWidth="1"/>
    <col min="10" max="10" width="8.625" style="179"/>
    <col min="11" max="11" width="8.625" style="13" customWidth="1"/>
    <col min="12" max="16384" width="8.625" style="13"/>
  </cols>
  <sheetData>
    <row r="1" spans="1:18" ht="67.349999999999994" customHeight="1">
      <c r="A1" s="13"/>
      <c r="B1" s="13"/>
      <c r="C1" s="98"/>
      <c r="D1" s="98"/>
      <c r="E1" s="13"/>
      <c r="F1" s="13"/>
      <c r="G1" s="13"/>
      <c r="H1" s="13"/>
      <c r="I1" s="182" t="s">
        <v>227</v>
      </c>
      <c r="J1" s="185" t="s">
        <v>225</v>
      </c>
      <c r="K1" s="186"/>
      <c r="L1" s="186"/>
      <c r="M1" s="186"/>
      <c r="N1" s="186"/>
      <c r="O1" s="186"/>
      <c r="P1" s="186"/>
      <c r="Q1" s="186"/>
      <c r="R1" s="187"/>
    </row>
    <row r="2" spans="1:18">
      <c r="A2" s="13"/>
      <c r="B2" s="13"/>
      <c r="C2" s="13"/>
      <c r="D2" s="13"/>
      <c r="E2" s="13"/>
      <c r="F2" s="13"/>
      <c r="G2" s="13"/>
      <c r="H2" s="13"/>
      <c r="I2" s="183"/>
      <c r="J2" s="188" t="s">
        <v>226</v>
      </c>
      <c r="K2" s="189"/>
      <c r="L2" s="189"/>
      <c r="M2" s="189"/>
      <c r="N2" s="189"/>
      <c r="O2" s="189"/>
      <c r="P2" s="189"/>
      <c r="Q2" s="189"/>
      <c r="R2" s="190"/>
    </row>
    <row r="3" spans="1:18" ht="19.5">
      <c r="A3" s="13"/>
      <c r="B3" s="13"/>
      <c r="C3" s="13"/>
      <c r="D3" s="131"/>
      <c r="E3" s="159" t="s">
        <v>224</v>
      </c>
      <c r="F3" s="159"/>
      <c r="G3" s="133"/>
      <c r="H3" s="13"/>
      <c r="I3" s="183"/>
      <c r="J3" s="225" t="s">
        <v>228</v>
      </c>
      <c r="K3" s="225"/>
      <c r="L3" s="225"/>
      <c r="M3" s="225"/>
      <c r="N3" s="225"/>
      <c r="O3" s="225"/>
      <c r="P3" s="225"/>
      <c r="Q3" s="225"/>
      <c r="R3" s="226"/>
    </row>
    <row r="4" spans="1:18" ht="15">
      <c r="A4" s="13"/>
      <c r="B4" s="13"/>
      <c r="C4" s="13"/>
      <c r="D4" s="131" t="s">
        <v>124</v>
      </c>
      <c r="E4" s="132">
        <v>2024</v>
      </c>
      <c r="F4" s="132">
        <v>2023</v>
      </c>
      <c r="G4" s="133" t="s">
        <v>125</v>
      </c>
      <c r="H4" s="13" t="s">
        <v>233</v>
      </c>
      <c r="I4" s="184"/>
      <c r="J4" s="191" t="s">
        <v>229</v>
      </c>
      <c r="K4" s="192"/>
      <c r="L4" s="192"/>
      <c r="M4" s="192"/>
      <c r="N4" s="192"/>
      <c r="O4" s="192"/>
      <c r="P4" s="192"/>
      <c r="Q4" s="192"/>
      <c r="R4" s="193"/>
    </row>
    <row r="5" spans="1:18">
      <c r="A5" s="13"/>
      <c r="B5" s="13"/>
      <c r="C5" s="13"/>
      <c r="D5" s="134" t="s">
        <v>126</v>
      </c>
      <c r="E5" s="165">
        <v>0.05</v>
      </c>
      <c r="F5" s="165">
        <v>0.05</v>
      </c>
      <c r="G5" s="135" t="s">
        <v>105</v>
      </c>
      <c r="H5" s="13"/>
      <c r="I5" s="13"/>
      <c r="J5" s="13"/>
    </row>
    <row r="6" spans="1:18">
      <c r="A6" s="13"/>
      <c r="B6" s="13"/>
      <c r="C6" s="13"/>
      <c r="D6" s="128" t="s">
        <v>127</v>
      </c>
      <c r="E6" s="166">
        <v>0</v>
      </c>
      <c r="F6" s="166">
        <v>0</v>
      </c>
      <c r="G6" s="129" t="s">
        <v>105</v>
      </c>
      <c r="H6" s="13"/>
      <c r="I6" s="13"/>
      <c r="J6" s="180"/>
    </row>
    <row r="7" spans="1:18">
      <c r="A7" s="13"/>
      <c r="B7" s="13"/>
      <c r="C7" s="13"/>
      <c r="D7" s="128" t="s">
        <v>128</v>
      </c>
      <c r="E7" s="166">
        <v>2.5000000000000001E-2</v>
      </c>
      <c r="F7" s="166">
        <v>2.5000000000000001E-2</v>
      </c>
      <c r="G7" s="129" t="s">
        <v>105</v>
      </c>
      <c r="H7" s="13"/>
      <c r="I7" s="13"/>
      <c r="J7" s="181"/>
    </row>
    <row r="8" spans="1:18">
      <c r="A8" s="13"/>
      <c r="B8" s="13"/>
      <c r="C8" s="13"/>
      <c r="D8" s="128" t="s">
        <v>129</v>
      </c>
      <c r="E8" s="166">
        <v>2.1999999999999999E-2</v>
      </c>
      <c r="F8" s="166">
        <v>2.4500000000000001E-2</v>
      </c>
      <c r="G8" s="129" t="s">
        <v>105</v>
      </c>
      <c r="H8" s="13" t="s">
        <v>230</v>
      </c>
      <c r="I8" s="13"/>
      <c r="J8" s="181"/>
    </row>
    <row r="9" spans="1:18">
      <c r="A9" s="13"/>
      <c r="B9" s="13"/>
      <c r="C9" s="13"/>
      <c r="D9" s="128" t="s">
        <v>130</v>
      </c>
      <c r="E9" s="166">
        <v>0.13300000000000001</v>
      </c>
      <c r="F9" s="166">
        <v>0.13300000000000001</v>
      </c>
      <c r="G9" s="129" t="s">
        <v>175</v>
      </c>
      <c r="H9" s="13"/>
      <c r="I9" s="13"/>
      <c r="J9" s="181"/>
    </row>
    <row r="10" spans="1:18">
      <c r="A10" s="13"/>
      <c r="B10" s="13"/>
      <c r="C10" s="13"/>
      <c r="D10" s="128" t="s">
        <v>131</v>
      </c>
      <c r="E10" s="166">
        <v>4.3999999999999997E-2</v>
      </c>
      <c r="F10" s="166">
        <v>4.3999999999999997E-2</v>
      </c>
      <c r="G10" s="129" t="s">
        <v>105</v>
      </c>
      <c r="H10" s="13"/>
      <c r="I10" s="13"/>
      <c r="J10" s="181"/>
    </row>
    <row r="11" spans="1:18">
      <c r="A11" s="13"/>
      <c r="B11" s="13"/>
      <c r="C11" s="13"/>
      <c r="D11" s="128" t="s">
        <v>132</v>
      </c>
      <c r="E11" s="166">
        <v>6.9900000000000004E-2</v>
      </c>
      <c r="F11" s="166">
        <v>6.9900000000000004E-2</v>
      </c>
      <c r="G11" s="129" t="s">
        <v>105</v>
      </c>
      <c r="H11" s="13"/>
      <c r="I11" s="13"/>
      <c r="J11" s="181"/>
    </row>
    <row r="12" spans="1:18">
      <c r="A12" s="13"/>
      <c r="B12" s="13"/>
      <c r="C12" s="13"/>
      <c r="D12" s="128" t="s">
        <v>133</v>
      </c>
      <c r="E12" s="166">
        <v>6.6000000000000003E-2</v>
      </c>
      <c r="F12" s="166">
        <v>6.6000000000000003E-2</v>
      </c>
      <c r="G12" s="129" t="s">
        <v>105</v>
      </c>
      <c r="H12" s="13"/>
      <c r="I12" s="13"/>
      <c r="J12" s="181"/>
    </row>
    <row r="13" spans="1:18">
      <c r="A13" s="13"/>
      <c r="B13" s="13"/>
      <c r="C13" s="13"/>
      <c r="D13" s="128" t="s">
        <v>134</v>
      </c>
      <c r="E13" s="166">
        <v>0</v>
      </c>
      <c r="F13" s="166">
        <v>0</v>
      </c>
      <c r="G13" s="129" t="s">
        <v>105</v>
      </c>
      <c r="H13" s="13"/>
      <c r="I13" s="13"/>
      <c r="J13" s="181"/>
      <c r="K13" s="244">
        <v>2024</v>
      </c>
    </row>
    <row r="14" spans="1:18">
      <c r="A14" s="13"/>
      <c r="B14" s="13"/>
      <c r="C14" s="13"/>
      <c r="D14" s="128" t="s">
        <v>135</v>
      </c>
      <c r="E14" s="166">
        <v>5.4899999999999997E-2</v>
      </c>
      <c r="F14" s="166">
        <v>5.7500000000000002E-2</v>
      </c>
      <c r="G14" s="129" t="s">
        <v>105</v>
      </c>
      <c r="H14" s="13"/>
      <c r="I14" s="13"/>
      <c r="J14" s="181"/>
      <c r="K14" s="244">
        <v>2025</v>
      </c>
    </row>
    <row r="15" spans="1:18">
      <c r="A15" s="13"/>
      <c r="B15" s="13"/>
      <c r="C15" s="13"/>
      <c r="D15" s="128" t="s">
        <v>136</v>
      </c>
      <c r="E15" s="166">
        <v>7.2499999999999995E-2</v>
      </c>
      <c r="F15" s="166">
        <v>7.2499999999999995E-2</v>
      </c>
      <c r="G15" s="129" t="s">
        <v>105</v>
      </c>
      <c r="H15" s="13"/>
      <c r="I15" s="13"/>
      <c r="J15" s="181"/>
      <c r="K15" s="244">
        <v>2026</v>
      </c>
    </row>
    <row r="16" spans="1:18">
      <c r="A16" s="13"/>
      <c r="B16" s="13"/>
      <c r="C16" s="13"/>
      <c r="D16" s="128" t="s">
        <v>137</v>
      </c>
      <c r="E16" s="166">
        <v>5.8000000000000003E-2</v>
      </c>
      <c r="F16" s="166">
        <v>5.8000000000000003E-2</v>
      </c>
      <c r="G16" s="129" t="s">
        <v>105</v>
      </c>
      <c r="H16" s="13"/>
      <c r="I16" s="13"/>
      <c r="J16" s="181"/>
    </row>
    <row r="17" spans="1:11">
      <c r="A17" s="13"/>
      <c r="B17" s="13"/>
      <c r="C17" s="13"/>
      <c r="D17" s="128" t="s">
        <v>138</v>
      </c>
      <c r="E17" s="166">
        <v>4.9500000000000002E-2</v>
      </c>
      <c r="F17" s="166">
        <v>4.9500000000000002E-2</v>
      </c>
      <c r="G17" s="129" t="s">
        <v>105</v>
      </c>
      <c r="H17" s="13"/>
      <c r="I17" s="13"/>
      <c r="J17" s="181"/>
      <c r="K17" s="13" t="s">
        <v>105</v>
      </c>
    </row>
    <row r="18" spans="1:11">
      <c r="A18" s="13"/>
      <c r="B18" s="13"/>
      <c r="C18" s="13"/>
      <c r="D18" s="128" t="s">
        <v>139</v>
      </c>
      <c r="E18" s="166">
        <v>3.0499999999999999E-2</v>
      </c>
      <c r="F18" s="166">
        <v>3.15E-2</v>
      </c>
      <c r="G18" s="129" t="s">
        <v>105</v>
      </c>
      <c r="H18" s="13"/>
      <c r="I18" s="13"/>
      <c r="J18" s="181"/>
      <c r="K18" s="13" t="s">
        <v>175</v>
      </c>
    </row>
    <row r="19" spans="1:11">
      <c r="A19" s="13"/>
      <c r="B19" s="13"/>
      <c r="C19" s="13"/>
      <c r="D19" s="128" t="s">
        <v>140</v>
      </c>
      <c r="E19" s="166">
        <v>5.7000000000000002E-2</v>
      </c>
      <c r="F19" s="166">
        <v>0.06</v>
      </c>
      <c r="G19" s="129" t="s">
        <v>105</v>
      </c>
      <c r="H19" s="13"/>
      <c r="I19" s="13"/>
      <c r="J19" s="181"/>
    </row>
    <row r="20" spans="1:11">
      <c r="A20" s="13"/>
      <c r="B20" s="13"/>
      <c r="C20" s="13"/>
      <c r="D20" s="128" t="s">
        <v>141</v>
      </c>
      <c r="E20" s="166">
        <v>5.7000000000000002E-2</v>
      </c>
      <c r="F20" s="166">
        <v>5.7000000000000002E-2</v>
      </c>
      <c r="G20" s="129" t="s">
        <v>105</v>
      </c>
      <c r="H20" s="13"/>
      <c r="I20" s="13"/>
      <c r="J20" s="181"/>
    </row>
    <row r="21" spans="1:11">
      <c r="A21" s="13"/>
      <c r="B21" s="13"/>
      <c r="C21" s="13"/>
      <c r="D21" s="128" t="s">
        <v>142</v>
      </c>
      <c r="E21" s="166">
        <v>0.04</v>
      </c>
      <c r="F21" s="166">
        <v>4.4999999999999998E-2</v>
      </c>
      <c r="G21" s="129" t="s">
        <v>105</v>
      </c>
      <c r="H21" s="13"/>
      <c r="I21" s="13"/>
      <c r="J21" s="181"/>
    </row>
    <row r="22" spans="1:11">
      <c r="A22" s="13"/>
      <c r="B22" s="13"/>
      <c r="C22" s="13"/>
      <c r="D22" s="128" t="s">
        <v>143</v>
      </c>
      <c r="E22" s="166">
        <v>4.2500000000000003E-2</v>
      </c>
      <c r="F22" s="166">
        <v>4.2450000000000002E-2</v>
      </c>
      <c r="G22" s="129" t="s">
        <v>105</v>
      </c>
      <c r="H22" s="13"/>
      <c r="I22" s="13"/>
      <c r="J22" s="181"/>
    </row>
    <row r="23" spans="1:11">
      <c r="A23" s="13"/>
      <c r="B23" s="13"/>
      <c r="C23" s="13"/>
      <c r="D23" s="128" t="s">
        <v>144</v>
      </c>
      <c r="E23" s="166">
        <v>7.1499999999999994E-2</v>
      </c>
      <c r="F23" s="166">
        <v>7.1499999999999994E-2</v>
      </c>
      <c r="G23" s="129" t="s">
        <v>105</v>
      </c>
      <c r="H23" s="13"/>
      <c r="I23" s="13"/>
      <c r="J23" s="181"/>
    </row>
    <row r="24" spans="1:11">
      <c r="A24" s="13"/>
      <c r="B24" s="13"/>
      <c r="C24" s="13"/>
      <c r="D24" s="128" t="s">
        <v>145</v>
      </c>
      <c r="E24" s="166">
        <v>5.7500000000000002E-2</v>
      </c>
      <c r="F24" s="166">
        <v>5.7500000000000002E-2</v>
      </c>
      <c r="G24" s="129" t="s">
        <v>105</v>
      </c>
      <c r="H24" s="13"/>
      <c r="I24" s="13"/>
      <c r="J24" s="181"/>
    </row>
    <row r="25" spans="1:11">
      <c r="A25" s="13"/>
      <c r="B25" s="13"/>
      <c r="C25" s="13"/>
      <c r="D25" s="128" t="s">
        <v>146</v>
      </c>
      <c r="E25" s="166">
        <v>0.09</v>
      </c>
      <c r="F25" s="166">
        <v>0.09</v>
      </c>
      <c r="G25" s="129" t="s">
        <v>175</v>
      </c>
      <c r="H25" s="13"/>
      <c r="I25" s="13"/>
      <c r="J25" s="181"/>
    </row>
    <row r="26" spans="1:11">
      <c r="A26" s="13"/>
      <c r="B26" s="13"/>
      <c r="C26" s="13"/>
      <c r="D26" s="128" t="s">
        <v>147</v>
      </c>
      <c r="E26" s="166">
        <v>4.2500000000000003E-2</v>
      </c>
      <c r="F26" s="166">
        <v>4.2500000000000003E-2</v>
      </c>
      <c r="G26" s="129" t="s">
        <v>105</v>
      </c>
      <c r="H26" s="13"/>
      <c r="I26" s="13"/>
      <c r="J26" s="181"/>
    </row>
    <row r="27" spans="1:11">
      <c r="A27" s="13"/>
      <c r="B27" s="13"/>
      <c r="C27" s="13"/>
      <c r="D27" s="128" t="s">
        <v>148</v>
      </c>
      <c r="E27" s="166">
        <v>9.8500000000000004E-2</v>
      </c>
      <c r="F27" s="166">
        <v>9.8500000000000004E-2</v>
      </c>
      <c r="G27" s="129" t="s">
        <v>105</v>
      </c>
      <c r="H27" s="13"/>
      <c r="I27" s="13"/>
      <c r="J27" s="181"/>
    </row>
    <row r="28" spans="1:11">
      <c r="A28" s="13"/>
      <c r="B28" s="13"/>
      <c r="C28" s="13"/>
      <c r="D28" s="128" t="s">
        <v>149</v>
      </c>
      <c r="E28" s="166">
        <v>4.7E-2</v>
      </c>
      <c r="F28" s="166">
        <v>0.05</v>
      </c>
      <c r="G28" s="129" t="s">
        <v>175</v>
      </c>
      <c r="H28" s="13"/>
      <c r="I28" s="13"/>
      <c r="J28" s="181"/>
    </row>
    <row r="29" spans="1:11">
      <c r="A29" s="13"/>
      <c r="B29" s="13"/>
      <c r="C29" s="13"/>
      <c r="D29" s="128" t="s">
        <v>150</v>
      </c>
      <c r="E29" s="166">
        <v>4.8000000000000001E-2</v>
      </c>
      <c r="F29" s="166">
        <v>4.9500000000000002E-2</v>
      </c>
      <c r="G29" s="129" t="s">
        <v>105</v>
      </c>
      <c r="H29" s="13"/>
      <c r="I29" s="13"/>
      <c r="J29" s="181"/>
    </row>
    <row r="30" spans="1:11">
      <c r="A30" s="13"/>
      <c r="B30" s="13"/>
      <c r="C30" s="13"/>
      <c r="D30" s="128" t="s">
        <v>151</v>
      </c>
      <c r="E30" s="166">
        <v>4.1000000000000002E-2</v>
      </c>
      <c r="F30" s="166">
        <v>6.7500000000000004E-2</v>
      </c>
      <c r="G30" s="129" t="s">
        <v>105</v>
      </c>
      <c r="H30" s="163"/>
      <c r="I30" s="13"/>
      <c r="J30" s="181"/>
    </row>
    <row r="31" spans="1:11">
      <c r="A31" s="13"/>
      <c r="B31" s="13"/>
      <c r="C31" s="13"/>
      <c r="D31" s="128" t="s">
        <v>152</v>
      </c>
      <c r="E31" s="166">
        <v>5.8400000000000001E-2</v>
      </c>
      <c r="F31" s="166">
        <v>6.6400000000000001E-2</v>
      </c>
      <c r="G31" s="129" t="s">
        <v>105</v>
      </c>
      <c r="H31" s="13"/>
      <c r="I31" s="13"/>
      <c r="J31" s="181"/>
    </row>
    <row r="32" spans="1:11">
      <c r="A32" s="13"/>
      <c r="B32" s="13"/>
      <c r="C32" s="13"/>
      <c r="D32" s="128" t="s">
        <v>153</v>
      </c>
      <c r="E32" s="166">
        <v>0</v>
      </c>
      <c r="F32" s="166">
        <v>0</v>
      </c>
      <c r="G32" s="129" t="s">
        <v>105</v>
      </c>
      <c r="H32" s="13"/>
      <c r="I32" s="13"/>
      <c r="J32" s="181"/>
    </row>
    <row r="33" spans="1:10">
      <c r="A33" s="13"/>
      <c r="B33" s="13"/>
      <c r="C33" s="13"/>
      <c r="D33" s="128" t="s">
        <v>154</v>
      </c>
      <c r="E33" s="166">
        <v>0</v>
      </c>
      <c r="F33" s="166">
        <v>0</v>
      </c>
      <c r="G33" s="129" t="s">
        <v>105</v>
      </c>
      <c r="H33" s="13"/>
      <c r="I33" s="13"/>
      <c r="J33" s="181"/>
    </row>
    <row r="34" spans="1:10">
      <c r="A34" s="13"/>
      <c r="B34" s="13"/>
      <c r="C34" s="13"/>
      <c r="D34" s="128" t="s">
        <v>155</v>
      </c>
      <c r="E34" s="166">
        <v>0.1075</v>
      </c>
      <c r="F34" s="166">
        <v>0.1075</v>
      </c>
      <c r="G34" s="129" t="s">
        <v>105</v>
      </c>
      <c r="H34" s="13"/>
      <c r="I34" s="13"/>
      <c r="J34" s="181"/>
    </row>
    <row r="35" spans="1:10">
      <c r="A35" s="13"/>
      <c r="B35" s="13"/>
      <c r="C35" s="13"/>
      <c r="D35" s="128" t="s">
        <v>156</v>
      </c>
      <c r="E35" s="166">
        <v>3.5400000000000001E-2</v>
      </c>
      <c r="F35" s="166">
        <v>3.5400000000000001E-2</v>
      </c>
      <c r="G35" s="129" t="s">
        <v>105</v>
      </c>
      <c r="H35" s="13" t="s">
        <v>231</v>
      </c>
      <c r="I35" s="13"/>
      <c r="J35" s="181"/>
    </row>
    <row r="36" spans="1:10">
      <c r="A36" s="13"/>
      <c r="B36" s="13"/>
      <c r="C36" s="13"/>
      <c r="D36" s="128" t="s">
        <v>157</v>
      </c>
      <c r="E36" s="166">
        <v>0.109</v>
      </c>
      <c r="F36" s="166">
        <v>0.109</v>
      </c>
      <c r="G36" s="129" t="s">
        <v>175</v>
      </c>
      <c r="H36" s="13"/>
      <c r="I36" s="13"/>
      <c r="J36" s="181"/>
    </row>
    <row r="37" spans="1:10">
      <c r="A37" s="13"/>
      <c r="B37" s="13"/>
      <c r="C37" s="13"/>
      <c r="D37" s="128" t="s">
        <v>158</v>
      </c>
      <c r="E37" s="166">
        <v>4.4999999999999998E-2</v>
      </c>
      <c r="F37" s="166">
        <v>4.7500000000000001E-2</v>
      </c>
      <c r="G37" s="129" t="s">
        <v>175</v>
      </c>
      <c r="H37" s="13"/>
      <c r="I37" s="13"/>
      <c r="J37" s="181"/>
    </row>
    <row r="38" spans="1:10">
      <c r="A38" s="13"/>
      <c r="B38" s="13"/>
      <c r="C38" s="13"/>
      <c r="D38" s="128" t="s">
        <v>159</v>
      </c>
      <c r="E38" s="166">
        <v>1.4999999999999999E-2</v>
      </c>
      <c r="F38" s="166">
        <v>1.4999999999999999E-2</v>
      </c>
      <c r="G38" s="129" t="s">
        <v>105</v>
      </c>
      <c r="H38" s="13" t="s">
        <v>236</v>
      </c>
      <c r="I38" s="13"/>
      <c r="J38" s="181"/>
    </row>
    <row r="39" spans="1:10">
      <c r="A39" s="13"/>
      <c r="B39" s="13"/>
      <c r="C39" s="13"/>
      <c r="D39" s="128" t="s">
        <v>160</v>
      </c>
      <c r="E39" s="166">
        <v>3.5000000000000003E-2</v>
      </c>
      <c r="F39" s="166">
        <v>3.9899999999999998E-2</v>
      </c>
      <c r="G39" s="129" t="s">
        <v>105</v>
      </c>
      <c r="H39" s="13"/>
      <c r="I39" s="13"/>
      <c r="J39" s="181"/>
    </row>
    <row r="40" spans="1:10">
      <c r="A40" s="13"/>
      <c r="B40" s="13"/>
      <c r="C40" s="13"/>
      <c r="D40" s="128" t="s">
        <v>161</v>
      </c>
      <c r="E40" s="166">
        <v>4.7500000000000001E-2</v>
      </c>
      <c r="F40" s="166">
        <v>4.7500000000000001E-2</v>
      </c>
      <c r="G40" s="129" t="s">
        <v>105</v>
      </c>
      <c r="H40" s="13"/>
      <c r="I40" s="13"/>
      <c r="J40" s="181"/>
    </row>
    <row r="41" spans="1:10">
      <c r="A41" s="13"/>
      <c r="B41" s="13"/>
      <c r="C41" s="13"/>
      <c r="D41" s="128" t="s">
        <v>162</v>
      </c>
      <c r="E41" s="166">
        <v>9.9000000000000005E-2</v>
      </c>
      <c r="F41" s="166">
        <v>9.9000000000000005E-2</v>
      </c>
      <c r="G41" s="129" t="s">
        <v>105</v>
      </c>
      <c r="H41" s="13"/>
      <c r="I41" s="13"/>
      <c r="J41" s="181"/>
    </row>
    <row r="42" spans="1:10">
      <c r="A42" s="13"/>
      <c r="B42" s="13"/>
      <c r="C42" s="13"/>
      <c r="D42" s="128" t="s">
        <v>163</v>
      </c>
      <c r="E42" s="166">
        <v>3.0700000000000002E-2</v>
      </c>
      <c r="F42" s="166">
        <v>3.0700000000000002E-2</v>
      </c>
      <c r="G42" s="129" t="s">
        <v>105</v>
      </c>
      <c r="H42" s="13"/>
      <c r="I42" s="13"/>
      <c r="J42" s="181"/>
    </row>
    <row r="43" spans="1:10">
      <c r="A43" s="13"/>
      <c r="B43" s="13"/>
      <c r="C43" s="13"/>
      <c r="D43" s="128" t="s">
        <v>164</v>
      </c>
      <c r="E43" s="166">
        <v>5.9900000000000002E-2</v>
      </c>
      <c r="F43" s="166">
        <v>5.9900000000000002E-2</v>
      </c>
      <c r="G43" s="129" t="s">
        <v>105</v>
      </c>
      <c r="H43" s="13"/>
      <c r="I43" s="13"/>
      <c r="J43" s="181"/>
    </row>
    <row r="44" spans="1:10">
      <c r="A44" s="13"/>
      <c r="B44" s="13"/>
      <c r="C44" s="13"/>
      <c r="D44" s="128" t="s">
        <v>165</v>
      </c>
      <c r="E44" s="166">
        <v>3.9199999999999999E-2</v>
      </c>
      <c r="F44" s="166">
        <v>3.9199999999999999E-2</v>
      </c>
      <c r="G44" s="129" t="s">
        <v>105</v>
      </c>
      <c r="H44" s="13" t="s">
        <v>232</v>
      </c>
      <c r="I44" s="13"/>
      <c r="J44" s="181"/>
    </row>
    <row r="45" spans="1:10">
      <c r="A45" s="13"/>
      <c r="B45" s="13"/>
      <c r="C45" s="13"/>
      <c r="D45" s="128" t="s">
        <v>166</v>
      </c>
      <c r="E45" s="166">
        <v>0</v>
      </c>
      <c r="F45" s="166">
        <v>0</v>
      </c>
      <c r="G45" s="129" t="s">
        <v>105</v>
      </c>
      <c r="H45" s="13"/>
      <c r="I45" s="13"/>
      <c r="J45" s="181"/>
    </row>
    <row r="46" spans="1:10">
      <c r="A46" s="13"/>
      <c r="B46" s="13"/>
      <c r="C46" s="13"/>
      <c r="D46" s="128" t="s">
        <v>167</v>
      </c>
      <c r="E46" s="166">
        <v>0</v>
      </c>
      <c r="F46" s="166">
        <v>0</v>
      </c>
      <c r="G46" s="129" t="s">
        <v>105</v>
      </c>
      <c r="H46" s="13"/>
      <c r="I46" s="13"/>
      <c r="J46" s="181"/>
    </row>
    <row r="47" spans="1:10">
      <c r="A47" s="13"/>
      <c r="B47" s="13"/>
      <c r="C47" s="13"/>
      <c r="D47" s="128" t="s">
        <v>121</v>
      </c>
      <c r="E47" s="166">
        <v>0</v>
      </c>
      <c r="F47" s="166">
        <v>0</v>
      </c>
      <c r="G47" s="129" t="s">
        <v>105</v>
      </c>
      <c r="H47" s="13"/>
      <c r="I47" s="13"/>
      <c r="J47" s="181"/>
    </row>
    <row r="48" spans="1:10">
      <c r="A48" s="13"/>
      <c r="B48" s="13"/>
      <c r="C48" s="13"/>
      <c r="D48" s="128" t="s">
        <v>168</v>
      </c>
      <c r="E48" s="166">
        <v>4.65E-2</v>
      </c>
      <c r="F48" s="166">
        <v>4.65E-2</v>
      </c>
      <c r="G48" s="129" t="s">
        <v>105</v>
      </c>
      <c r="H48" s="13"/>
      <c r="I48" s="13"/>
      <c r="J48" s="181"/>
    </row>
    <row r="49" spans="1:10">
      <c r="A49" s="13"/>
      <c r="B49" s="13"/>
      <c r="C49" s="13"/>
      <c r="D49" s="128" t="s">
        <v>169</v>
      </c>
      <c r="E49" s="166">
        <v>8.7499999999999994E-2</v>
      </c>
      <c r="F49" s="166">
        <v>8.7499999999999994E-2</v>
      </c>
      <c r="G49" s="129" t="s">
        <v>105</v>
      </c>
      <c r="H49" s="13"/>
      <c r="I49" s="13"/>
      <c r="J49" s="181"/>
    </row>
    <row r="50" spans="1:10">
      <c r="A50" s="13"/>
      <c r="B50" s="13"/>
      <c r="C50" s="13"/>
      <c r="D50" s="128" t="s">
        <v>170</v>
      </c>
      <c r="E50" s="166">
        <v>5.7500000000000002E-2</v>
      </c>
      <c r="F50" s="166">
        <v>5.7500000000000002E-2</v>
      </c>
      <c r="G50" s="129" t="s">
        <v>105</v>
      </c>
      <c r="H50" s="13"/>
      <c r="I50" s="13"/>
      <c r="J50" s="181"/>
    </row>
    <row r="51" spans="1:10">
      <c r="A51" s="13"/>
      <c r="B51" s="13"/>
      <c r="C51" s="13"/>
      <c r="D51" s="128" t="s">
        <v>171</v>
      </c>
      <c r="E51" s="166">
        <v>7.0000000000000007E-2</v>
      </c>
      <c r="F51" s="166">
        <v>7.0000000000000007E-2</v>
      </c>
      <c r="G51" s="129" t="s">
        <v>175</v>
      </c>
      <c r="H51" s="13"/>
      <c r="I51" s="13"/>
      <c r="J51" s="181"/>
    </row>
    <row r="52" spans="1:10">
      <c r="A52" s="13"/>
      <c r="B52" s="13"/>
      <c r="C52" s="13"/>
      <c r="D52" s="128" t="s">
        <v>204</v>
      </c>
      <c r="E52" s="166">
        <v>0.1075</v>
      </c>
      <c r="F52" s="166">
        <v>0.1075</v>
      </c>
      <c r="G52" s="129" t="s">
        <v>105</v>
      </c>
      <c r="H52" s="13"/>
      <c r="I52" s="13"/>
      <c r="J52" s="181"/>
    </row>
    <row r="53" spans="1:10">
      <c r="A53" s="13"/>
      <c r="B53" s="13"/>
      <c r="C53" s="13"/>
      <c r="D53" s="128" t="s">
        <v>172</v>
      </c>
      <c r="E53" s="166">
        <v>5.1200000000000002E-2</v>
      </c>
      <c r="F53" s="166">
        <v>5.1200000000000002E-2</v>
      </c>
      <c r="G53" s="129" t="s">
        <v>105</v>
      </c>
      <c r="H53" s="13"/>
      <c r="I53" s="13"/>
      <c r="J53" s="181"/>
    </row>
    <row r="54" spans="1:10">
      <c r="A54" s="13"/>
      <c r="B54" s="13"/>
      <c r="C54" s="13"/>
      <c r="D54" s="128" t="s">
        <v>173</v>
      </c>
      <c r="E54" s="166">
        <v>5.3600000000000002E-2</v>
      </c>
      <c r="F54" s="166">
        <v>5.3600000000000002E-2</v>
      </c>
      <c r="G54" s="129" t="s">
        <v>105</v>
      </c>
      <c r="H54" s="13" t="s">
        <v>234</v>
      </c>
      <c r="I54" s="13"/>
      <c r="J54" s="181"/>
    </row>
    <row r="55" spans="1:10">
      <c r="A55" s="13"/>
      <c r="B55" s="13"/>
      <c r="C55" s="13"/>
      <c r="D55" s="164" t="s">
        <v>174</v>
      </c>
      <c r="E55" s="167">
        <v>0</v>
      </c>
      <c r="F55" s="167">
        <v>0</v>
      </c>
      <c r="G55" s="130" t="s">
        <v>105</v>
      </c>
      <c r="H55" s="13"/>
      <c r="I55" s="13"/>
      <c r="J55" s="181"/>
    </row>
    <row r="56" spans="1:10">
      <c r="A56" s="13"/>
      <c r="B56" s="13"/>
      <c r="C56" s="13"/>
      <c r="D56" s="13"/>
      <c r="E56" s="13"/>
      <c r="F56" s="13"/>
      <c r="G56" s="13"/>
      <c r="H56" s="13"/>
    </row>
    <row r="57" spans="1:10">
      <c r="A57" s="13"/>
      <c r="B57" s="13"/>
      <c r="C57" s="13"/>
      <c r="D57" s="13"/>
      <c r="E57" s="13"/>
      <c r="F57" s="13"/>
      <c r="G57" s="13"/>
      <c r="H57" s="13"/>
    </row>
    <row r="58" spans="1:10">
      <c r="A58" s="13"/>
      <c r="B58" s="13"/>
      <c r="C58" s="13"/>
      <c r="D58" s="13"/>
      <c r="E58" s="13"/>
      <c r="F58" s="13"/>
      <c r="G58" s="13"/>
      <c r="H58" s="13"/>
    </row>
    <row r="59" spans="1:10">
      <c r="A59" s="13"/>
      <c r="B59" s="13"/>
      <c r="C59" s="13"/>
      <c r="D59" s="13"/>
      <c r="E59" s="13"/>
      <c r="F59" s="13"/>
      <c r="G59" s="13"/>
      <c r="H59" s="13"/>
    </row>
    <row r="60" spans="1:10">
      <c r="A60" s="13"/>
      <c r="B60" s="13"/>
      <c r="C60" s="13"/>
      <c r="D60" s="13"/>
      <c r="E60" s="13"/>
      <c r="F60" s="13"/>
      <c r="G60" s="13"/>
      <c r="H60" s="13"/>
    </row>
    <row r="61" spans="1:10">
      <c r="A61" s="13"/>
      <c r="B61" s="13"/>
      <c r="C61" s="13"/>
      <c r="D61" s="13"/>
      <c r="E61" s="13"/>
      <c r="F61" s="13"/>
      <c r="G61" s="13"/>
      <c r="H61" s="13"/>
    </row>
    <row r="62" spans="1:10">
      <c r="A62" s="13"/>
      <c r="B62" s="13"/>
      <c r="C62" s="13"/>
      <c r="D62" s="13"/>
      <c r="E62" s="13"/>
      <c r="F62" s="13"/>
      <c r="G62" s="13"/>
      <c r="H62" s="13"/>
    </row>
  </sheetData>
  <mergeCells count="1">
    <mergeCell ref="J3:R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B317C-B213-4919-8500-2C3C9354884F}">
  <sheetPr>
    <pageSetUpPr fitToPage="1"/>
  </sheetPr>
  <dimension ref="A1:M57"/>
  <sheetViews>
    <sheetView zoomScale="80" zoomScaleNormal="80" workbookViewId="0">
      <selection activeCell="B52" sqref="B52"/>
    </sheetView>
  </sheetViews>
  <sheetFormatPr defaultColWidth="8.625" defaultRowHeight="15"/>
  <cols>
    <col min="1" max="1" width="32.5" style="36" customWidth="1"/>
    <col min="2" max="9" width="12.625" style="36" customWidth="1"/>
    <col min="10" max="12" width="13.625" style="36" customWidth="1"/>
    <col min="13" max="32" width="12.625" style="36" customWidth="1"/>
    <col min="33" max="16384" width="8.625" style="36"/>
  </cols>
  <sheetData>
    <row r="1" spans="1:13" ht="22.5">
      <c r="A1" s="230" t="s">
        <v>29</v>
      </c>
      <c r="B1" s="230"/>
      <c r="C1" s="230"/>
      <c r="D1" s="230"/>
      <c r="E1" s="230"/>
      <c r="F1" s="230"/>
      <c r="G1" s="230"/>
      <c r="H1" s="230"/>
      <c r="I1" s="230"/>
      <c r="J1" s="230"/>
      <c r="K1" s="230"/>
      <c r="L1" s="230"/>
    </row>
    <row r="3" spans="1:13" ht="19.5">
      <c r="A3" s="231" t="s">
        <v>60</v>
      </c>
      <c r="B3" s="231"/>
      <c r="C3" s="231"/>
      <c r="D3" s="231"/>
      <c r="E3" s="231"/>
      <c r="F3" s="231"/>
      <c r="G3" s="231"/>
      <c r="H3" s="231"/>
      <c r="I3" s="231"/>
      <c r="J3" s="231"/>
      <c r="K3" s="231"/>
      <c r="L3" s="231"/>
    </row>
    <row r="5" spans="1:13">
      <c r="A5" s="44" t="s">
        <v>71</v>
      </c>
      <c r="D5" s="47"/>
      <c r="E5" s="58"/>
      <c r="F5" s="59" t="s">
        <v>72</v>
      </c>
      <c r="G5" s="59" t="s">
        <v>74</v>
      </c>
      <c r="H5" s="60" t="s">
        <v>79</v>
      </c>
      <c r="J5" s="234" t="s">
        <v>80</v>
      </c>
      <c r="K5" s="235"/>
      <c r="L5" s="236"/>
    </row>
    <row r="6" spans="1:13" ht="16.5">
      <c r="A6" s="36" t="s">
        <v>30</v>
      </c>
      <c r="B6" s="66">
        <v>1000000</v>
      </c>
      <c r="D6" s="48"/>
      <c r="E6" s="55"/>
      <c r="F6" s="61" t="s">
        <v>73</v>
      </c>
      <c r="G6" s="61" t="s">
        <v>73</v>
      </c>
      <c r="H6" s="62" t="s">
        <v>73</v>
      </c>
      <c r="J6" s="232" t="s">
        <v>83</v>
      </c>
      <c r="K6" s="233"/>
      <c r="L6" s="62" t="s">
        <v>96</v>
      </c>
    </row>
    <row r="7" spans="1:13">
      <c r="A7" s="36" t="s">
        <v>31</v>
      </c>
      <c r="B7" s="39">
        <v>0.37</v>
      </c>
      <c r="D7" s="48" t="s">
        <v>76</v>
      </c>
      <c r="E7" s="55"/>
      <c r="F7" s="63">
        <f>B26</f>
        <v>6.4483542668234639E-2</v>
      </c>
      <c r="G7" s="63">
        <f>B39</f>
        <v>9.0025487173740704E-2</v>
      </c>
      <c r="H7" s="64">
        <f>G7-F7</f>
        <v>2.5541944505506065E-2</v>
      </c>
      <c r="J7" s="48" t="s">
        <v>81</v>
      </c>
      <c r="K7" s="55"/>
      <c r="L7" s="71">
        <f>+B50</f>
        <v>90907.87113323329</v>
      </c>
    </row>
    <row r="8" spans="1:13">
      <c r="A8" s="36" t="s">
        <v>32</v>
      </c>
      <c r="B8" s="39">
        <v>0.2</v>
      </c>
      <c r="D8" s="48" t="s">
        <v>69</v>
      </c>
      <c r="E8" s="55"/>
      <c r="F8" s="63">
        <f>B27</f>
        <v>5.1345745899094242E-2</v>
      </c>
      <c r="G8" s="63">
        <f>B40</f>
        <v>7.4839506142339252E-2</v>
      </c>
      <c r="H8" s="64">
        <f>G8-F8</f>
        <v>2.349376024324501E-2</v>
      </c>
      <c r="J8" s="48" t="s">
        <v>82</v>
      </c>
      <c r="K8" s="55"/>
      <c r="L8" s="49">
        <f>+B52</f>
        <v>23682.277029418066</v>
      </c>
    </row>
    <row r="9" spans="1:13">
      <c r="A9" s="36" t="s">
        <v>53</v>
      </c>
      <c r="B9" s="39">
        <v>0.5</v>
      </c>
      <c r="D9" s="48" t="s">
        <v>70</v>
      </c>
      <c r="E9" s="55"/>
      <c r="F9" s="55">
        <f>B28</f>
        <v>1612240</v>
      </c>
      <c r="G9" s="55">
        <f>B41</f>
        <v>2013550</v>
      </c>
      <c r="H9" s="49">
        <f>G9-F9</f>
        <v>401310</v>
      </c>
      <c r="J9" s="48" t="s">
        <v>84</v>
      </c>
      <c r="K9" s="55"/>
      <c r="L9" s="49"/>
    </row>
    <row r="10" spans="1:13" ht="17.25">
      <c r="A10" s="36" t="s">
        <v>61</v>
      </c>
      <c r="B10" s="39">
        <v>0.15</v>
      </c>
      <c r="D10" s="50" t="s">
        <v>75</v>
      </c>
      <c r="E10" s="65"/>
      <c r="F10" s="65"/>
      <c r="G10" s="65"/>
      <c r="H10" s="51">
        <f>H9/F9</f>
        <v>0.24891455366446683</v>
      </c>
      <c r="J10" s="48" t="s">
        <v>85</v>
      </c>
      <c r="K10" s="55"/>
      <c r="L10" s="78">
        <f>+B54</f>
        <v>125193.80118137397</v>
      </c>
    </row>
    <row r="11" spans="1:13">
      <c r="A11" s="36" t="s">
        <v>33</v>
      </c>
      <c r="B11" s="39">
        <v>7.0000000000000007E-2</v>
      </c>
      <c r="J11" s="79" t="s">
        <v>99</v>
      </c>
      <c r="K11" s="80"/>
      <c r="L11" s="81">
        <f>+SUM(L7:L10)</f>
        <v>239783.94934402534</v>
      </c>
    </row>
    <row r="12" spans="1:13">
      <c r="A12" s="36" t="s">
        <v>34</v>
      </c>
      <c r="B12" s="39">
        <v>0.09</v>
      </c>
      <c r="J12" s="48" t="s">
        <v>97</v>
      </c>
      <c r="K12" s="55"/>
      <c r="L12" s="64">
        <f>+B56</f>
        <v>0.23978394934402533</v>
      </c>
    </row>
    <row r="13" spans="1:13">
      <c r="B13" s="39"/>
      <c r="J13" s="68" t="s">
        <v>98</v>
      </c>
      <c r="K13" s="69"/>
      <c r="L13" s="82">
        <f>+B57</f>
        <v>0.29972993668003167</v>
      </c>
    </row>
    <row r="15" spans="1:13">
      <c r="B15" s="42">
        <v>2019</v>
      </c>
      <c r="C15" s="42">
        <f>B15+1</f>
        <v>2020</v>
      </c>
      <c r="D15" s="42">
        <f t="shared" ref="D15:L15" si="0">C15+1</f>
        <v>2021</v>
      </c>
      <c r="E15" s="42">
        <f t="shared" si="0"/>
        <v>2022</v>
      </c>
      <c r="F15" s="42">
        <f t="shared" si="0"/>
        <v>2023</v>
      </c>
      <c r="G15" s="42">
        <f t="shared" si="0"/>
        <v>2024</v>
      </c>
      <c r="H15" s="42">
        <f>G15+1</f>
        <v>2025</v>
      </c>
      <c r="I15" s="42">
        <f t="shared" si="0"/>
        <v>2026</v>
      </c>
      <c r="J15" s="42">
        <f t="shared" si="0"/>
        <v>2027</v>
      </c>
      <c r="K15" s="42">
        <f t="shared" si="0"/>
        <v>2028</v>
      </c>
      <c r="L15" s="42">
        <f t="shared" si="0"/>
        <v>2029</v>
      </c>
    </row>
    <row r="16" spans="1:13" ht="16.5">
      <c r="B16" s="41" t="s">
        <v>36</v>
      </c>
      <c r="C16" s="41" t="s">
        <v>35</v>
      </c>
      <c r="D16" s="41" t="s">
        <v>37</v>
      </c>
      <c r="E16" s="41" t="s">
        <v>38</v>
      </c>
      <c r="F16" s="41" t="s">
        <v>39</v>
      </c>
      <c r="G16" s="41" t="s">
        <v>40</v>
      </c>
      <c r="H16" s="41" t="s">
        <v>41</v>
      </c>
      <c r="I16" s="41" t="s">
        <v>42</v>
      </c>
      <c r="J16" s="41" t="s">
        <v>43</v>
      </c>
      <c r="K16" s="41" t="s">
        <v>44</v>
      </c>
      <c r="L16" s="41" t="s">
        <v>45</v>
      </c>
      <c r="M16" s="41"/>
    </row>
    <row r="17" spans="1:13" ht="17.25">
      <c r="A17" s="45" t="s">
        <v>59</v>
      </c>
      <c r="C17" s="228" t="s">
        <v>46</v>
      </c>
      <c r="D17" s="228"/>
      <c r="E17" s="229" t="s">
        <v>50</v>
      </c>
      <c r="F17" s="229"/>
      <c r="G17" s="229" t="s">
        <v>51</v>
      </c>
      <c r="H17" s="229"/>
      <c r="I17" s="229"/>
      <c r="J17" s="229"/>
      <c r="K17" s="229"/>
      <c r="L17" s="229"/>
    </row>
    <row r="18" spans="1:13">
      <c r="A18" s="36" t="s">
        <v>47</v>
      </c>
      <c r="B18" s="36">
        <f>B6</f>
        <v>1000000</v>
      </c>
    </row>
    <row r="19" spans="1:13" ht="17.25">
      <c r="A19" s="36" t="s">
        <v>48</v>
      </c>
      <c r="B19" s="43">
        <f>B18*-B8</f>
        <v>-200000</v>
      </c>
    </row>
    <row r="20" spans="1:13">
      <c r="A20" s="36" t="s">
        <v>49</v>
      </c>
      <c r="B20" s="36">
        <f>B18+B19</f>
        <v>800000</v>
      </c>
    </row>
    <row r="21" spans="1:13">
      <c r="A21" s="36" t="s">
        <v>57</v>
      </c>
      <c r="B21" s="36">
        <f>-B18</f>
        <v>-1000000</v>
      </c>
      <c r="C21" s="36">
        <v>0</v>
      </c>
      <c r="D21" s="36">
        <v>0</v>
      </c>
      <c r="E21" s="36">
        <v>0</v>
      </c>
      <c r="F21" s="36">
        <v>0</v>
      </c>
      <c r="G21" s="36">
        <f>$B$20*$B$11</f>
        <v>56000.000000000007</v>
      </c>
      <c r="H21" s="36">
        <f>$B$20*$B$11</f>
        <v>56000.000000000007</v>
      </c>
      <c r="I21" s="36">
        <f>$B$20*$B$11</f>
        <v>56000.000000000007</v>
      </c>
      <c r="J21" s="36">
        <f>$B$20*$B$11</f>
        <v>56000.000000000007</v>
      </c>
      <c r="K21" s="36">
        <f>$B$20*$B$11</f>
        <v>56000.000000000007</v>
      </c>
      <c r="L21" s="36">
        <f>$B$20*$B$11+L22</f>
        <v>1529000</v>
      </c>
    </row>
    <row r="22" spans="1:13">
      <c r="A22" s="36" t="s">
        <v>52</v>
      </c>
      <c r="C22" s="36">
        <v>0</v>
      </c>
      <c r="D22" s="36">
        <v>0</v>
      </c>
      <c r="E22" s="36">
        <v>0</v>
      </c>
      <c r="F22" s="36">
        <v>0</v>
      </c>
      <c r="G22" s="36">
        <v>0</v>
      </c>
      <c r="H22" s="36">
        <v>0</v>
      </c>
      <c r="I22" s="36">
        <v>0</v>
      </c>
      <c r="J22" s="36">
        <v>0</v>
      </c>
      <c r="K22" s="36">
        <v>0</v>
      </c>
      <c r="L22" s="67">
        <f>L35/B33*B20</f>
        <v>1473000</v>
      </c>
      <c r="M22" s="83"/>
    </row>
    <row r="23" spans="1:13">
      <c r="A23" s="36" t="s">
        <v>48</v>
      </c>
      <c r="C23" s="36">
        <v>0</v>
      </c>
      <c r="D23" s="36">
        <v>0</v>
      </c>
      <c r="E23" s="36">
        <v>0</v>
      </c>
      <c r="F23" s="36">
        <v>0</v>
      </c>
      <c r="G23" s="36">
        <v>0</v>
      </c>
      <c r="H23" s="36">
        <v>0</v>
      </c>
      <c r="I23" s="36">
        <v>0</v>
      </c>
      <c r="J23" s="36">
        <v>0</v>
      </c>
      <c r="K23" s="36">
        <v>0</v>
      </c>
      <c r="L23" s="36">
        <f>(L22-B20)*-B8</f>
        <v>-134600</v>
      </c>
    </row>
    <row r="24" spans="1:13" ht="17.25">
      <c r="A24" s="36" t="s">
        <v>56</v>
      </c>
      <c r="C24" s="43">
        <f>C21*(1-$B$9)*-$B$7</f>
        <v>0</v>
      </c>
      <c r="D24" s="43">
        <f t="shared" ref="D24:K24" si="1">D21*(1-$B$9)*-$B$7</f>
        <v>0</v>
      </c>
      <c r="E24" s="43">
        <f t="shared" si="1"/>
        <v>0</v>
      </c>
      <c r="F24" s="43">
        <f t="shared" si="1"/>
        <v>0</v>
      </c>
      <c r="G24" s="43">
        <f t="shared" si="1"/>
        <v>-10360.000000000002</v>
      </c>
      <c r="H24" s="43">
        <f t="shared" si="1"/>
        <v>-10360.000000000002</v>
      </c>
      <c r="I24" s="43">
        <f t="shared" si="1"/>
        <v>-10360.000000000002</v>
      </c>
      <c r="J24" s="43">
        <f t="shared" si="1"/>
        <v>-10360.000000000002</v>
      </c>
      <c r="K24" s="43">
        <f t="shared" si="1"/>
        <v>-10360.000000000002</v>
      </c>
      <c r="L24" s="43">
        <f>K24</f>
        <v>-10360.000000000002</v>
      </c>
    </row>
    <row r="25" spans="1:13">
      <c r="A25" s="36" t="s">
        <v>58</v>
      </c>
      <c r="B25" s="36">
        <f>B21</f>
        <v>-1000000</v>
      </c>
      <c r="C25" s="36">
        <f>C21+C24</f>
        <v>0</v>
      </c>
      <c r="D25" s="36">
        <f t="shared" ref="D25:K25" si="2">D21+D24</f>
        <v>0</v>
      </c>
      <c r="E25" s="36">
        <f t="shared" si="2"/>
        <v>0</v>
      </c>
      <c r="F25" s="36">
        <f t="shared" si="2"/>
        <v>0</v>
      </c>
      <c r="G25" s="36">
        <f t="shared" si="2"/>
        <v>45640.000000000007</v>
      </c>
      <c r="H25" s="36">
        <f t="shared" si="2"/>
        <v>45640.000000000007</v>
      </c>
      <c r="I25" s="36">
        <f t="shared" si="2"/>
        <v>45640.000000000007</v>
      </c>
      <c r="J25" s="36">
        <f t="shared" si="2"/>
        <v>45640.000000000007</v>
      </c>
      <c r="K25" s="36">
        <f t="shared" si="2"/>
        <v>45640.000000000007</v>
      </c>
      <c r="L25" s="36">
        <f>L21+L23+L24</f>
        <v>1384040</v>
      </c>
    </row>
    <row r="26" spans="1:13">
      <c r="A26" s="36" t="s">
        <v>54</v>
      </c>
      <c r="B26" s="37">
        <f>IRR(B21:L21,0.05)</f>
        <v>6.4483542668234639E-2</v>
      </c>
    </row>
    <row r="27" spans="1:13">
      <c r="A27" s="40" t="s">
        <v>55</v>
      </c>
      <c r="B27" s="52">
        <f>IRR(B25:L25,0.05)</f>
        <v>5.1345745899094242E-2</v>
      </c>
    </row>
    <row r="28" spans="1:13">
      <c r="A28" s="36" t="s">
        <v>62</v>
      </c>
      <c r="B28" s="36">
        <f>SUM(C25:L25)</f>
        <v>1612240</v>
      </c>
    </row>
    <row r="30" spans="1:13" ht="17.25">
      <c r="A30" s="45" t="s">
        <v>63</v>
      </c>
      <c r="C30" s="228" t="s">
        <v>67</v>
      </c>
      <c r="D30" s="228"/>
      <c r="E30" s="228"/>
      <c r="F30" s="228"/>
      <c r="G30" s="228"/>
      <c r="H30" s="229" t="s">
        <v>68</v>
      </c>
      <c r="I30" s="229"/>
      <c r="L30" s="46" t="s">
        <v>77</v>
      </c>
      <c r="M30" s="46"/>
    </row>
    <row r="31" spans="1:13">
      <c r="A31" s="36" t="s">
        <v>47</v>
      </c>
      <c r="B31" s="36">
        <f>B6</f>
        <v>1000000</v>
      </c>
      <c r="C31" s="227" t="s">
        <v>65</v>
      </c>
      <c r="D31" s="227"/>
      <c r="E31" s="227"/>
      <c r="F31" s="227"/>
      <c r="G31" s="227"/>
      <c r="H31" s="54" t="s">
        <v>66</v>
      </c>
      <c r="L31" s="53" t="s">
        <v>64</v>
      </c>
    </row>
    <row r="32" spans="1:13" ht="17.25">
      <c r="A32" s="36" t="s">
        <v>48</v>
      </c>
      <c r="B32" s="43">
        <v>0</v>
      </c>
      <c r="L32" s="53" t="s">
        <v>78</v>
      </c>
    </row>
    <row r="33" spans="1:13">
      <c r="A33" s="36" t="s">
        <v>49</v>
      </c>
      <c r="B33" s="36">
        <f>B31+B32</f>
        <v>1000000</v>
      </c>
    </row>
    <row r="34" spans="1:13">
      <c r="A34" s="36" t="s">
        <v>57</v>
      </c>
      <c r="B34" s="36">
        <f>-B33</f>
        <v>-1000000</v>
      </c>
      <c r="C34" s="36">
        <v>0</v>
      </c>
      <c r="D34" s="36">
        <v>0</v>
      </c>
      <c r="E34" s="36">
        <v>0</v>
      </c>
      <c r="F34" s="36">
        <v>0</v>
      </c>
      <c r="G34" s="36">
        <f>$B$33*$B$11</f>
        <v>70000</v>
      </c>
      <c r="H34" s="36">
        <f t="shared" ref="H34:K34" si="3">$B$33*$B$11</f>
        <v>70000</v>
      </c>
      <c r="I34" s="36">
        <f t="shared" si="3"/>
        <v>70000</v>
      </c>
      <c r="J34" s="36">
        <f t="shared" si="3"/>
        <v>70000</v>
      </c>
      <c r="K34" s="36">
        <f t="shared" si="3"/>
        <v>70000</v>
      </c>
      <c r="L34" s="36">
        <f>$B$33*$B$11+L35</f>
        <v>1911250</v>
      </c>
    </row>
    <row r="35" spans="1:13">
      <c r="A35" s="36" t="s">
        <v>52</v>
      </c>
      <c r="C35" s="36">
        <v>0</v>
      </c>
      <c r="D35" s="36">
        <v>0</v>
      </c>
      <c r="E35" s="36">
        <v>0</v>
      </c>
      <c r="F35" s="36">
        <v>0</v>
      </c>
      <c r="G35" s="36">
        <v>0</v>
      </c>
      <c r="H35" s="36">
        <v>0</v>
      </c>
      <c r="I35" s="36">
        <v>0</v>
      </c>
      <c r="J35" s="36">
        <v>0</v>
      </c>
      <c r="K35" s="36">
        <v>0</v>
      </c>
      <c r="L35" s="38">
        <v>1841250</v>
      </c>
      <c r="M35" s="83"/>
    </row>
    <row r="36" spans="1:13">
      <c r="A36" s="36" t="s">
        <v>48</v>
      </c>
      <c r="C36" s="36">
        <v>0</v>
      </c>
      <c r="D36" s="36">
        <v>0</v>
      </c>
      <c r="E36" s="36">
        <v>0</v>
      </c>
      <c r="F36" s="36">
        <v>0</v>
      </c>
      <c r="G36" s="36">
        <v>0</v>
      </c>
      <c r="H36" s="36">
        <v>0</v>
      </c>
      <c r="I36" s="36">
        <v>0</v>
      </c>
      <c r="J36" s="36">
        <f>B34*(1-B10)*B8</f>
        <v>-170000</v>
      </c>
      <c r="K36" s="36">
        <v>0</v>
      </c>
      <c r="L36" s="36">
        <f>(L35-B33)*-B22</f>
        <v>0</v>
      </c>
    </row>
    <row r="37" spans="1:13" ht="17.25">
      <c r="A37" s="36" t="s">
        <v>56</v>
      </c>
      <c r="C37" s="43">
        <f>C34*(1-$B$9)*-$B$7</f>
        <v>0</v>
      </c>
      <c r="D37" s="43">
        <f t="shared" ref="D37:K37" si="4">D34*(1-$B$9)*-$B$7</f>
        <v>0</v>
      </c>
      <c r="E37" s="43">
        <f t="shared" si="4"/>
        <v>0</v>
      </c>
      <c r="F37" s="43">
        <f t="shared" si="4"/>
        <v>0</v>
      </c>
      <c r="G37" s="43">
        <f t="shared" si="4"/>
        <v>-12950</v>
      </c>
      <c r="H37" s="43">
        <f t="shared" si="4"/>
        <v>-12950</v>
      </c>
      <c r="I37" s="43">
        <f t="shared" si="4"/>
        <v>-12950</v>
      </c>
      <c r="J37" s="43">
        <f t="shared" si="4"/>
        <v>-12950</v>
      </c>
      <c r="K37" s="43">
        <f t="shared" si="4"/>
        <v>-12950</v>
      </c>
      <c r="L37" s="43">
        <f>K37</f>
        <v>-12950</v>
      </c>
    </row>
    <row r="38" spans="1:13">
      <c r="A38" s="36" t="s">
        <v>58</v>
      </c>
      <c r="B38" s="36">
        <f>-B33</f>
        <v>-1000000</v>
      </c>
      <c r="C38" s="36">
        <f>C34+C37</f>
        <v>0</v>
      </c>
      <c r="D38" s="36">
        <f t="shared" ref="D38" si="5">D34+D37</f>
        <v>0</v>
      </c>
      <c r="E38" s="36">
        <f t="shared" ref="E38" si="6">E34+E37</f>
        <v>0</v>
      </c>
      <c r="F38" s="36">
        <f t="shared" ref="F38" si="7">F34+F37</f>
        <v>0</v>
      </c>
      <c r="G38" s="36">
        <f t="shared" ref="G38" si="8">G34+G37</f>
        <v>57050</v>
      </c>
      <c r="H38" s="36">
        <f t="shared" ref="H38" si="9">H34+H37</f>
        <v>57050</v>
      </c>
      <c r="I38" s="36">
        <f t="shared" ref="I38" si="10">I34+I37</f>
        <v>57050</v>
      </c>
      <c r="J38" s="36">
        <f>J34+J37+J36</f>
        <v>-112950</v>
      </c>
      <c r="K38" s="36">
        <f t="shared" ref="K38" si="11">K34+K37</f>
        <v>57050</v>
      </c>
      <c r="L38" s="36">
        <f t="shared" ref="L38" si="12">L34+L37</f>
        <v>1898300</v>
      </c>
    </row>
    <row r="39" spans="1:13">
      <c r="A39" s="36" t="s">
        <v>54</v>
      </c>
      <c r="B39" s="37">
        <f>IRR(B34:L34,0.05)</f>
        <v>9.0025487173740704E-2</v>
      </c>
    </row>
    <row r="40" spans="1:13">
      <c r="A40" s="40" t="s">
        <v>55</v>
      </c>
      <c r="B40" s="52">
        <f>IRR(B38:L38,0.05)</f>
        <v>7.4839506142339252E-2</v>
      </c>
    </row>
    <row r="41" spans="1:13">
      <c r="A41" s="55" t="s">
        <v>62</v>
      </c>
      <c r="B41" s="55">
        <f>SUM(C38:L38)</f>
        <v>2013550</v>
      </c>
    </row>
    <row r="42" spans="1:13">
      <c r="A42" s="55"/>
      <c r="B42" s="55"/>
    </row>
    <row r="43" spans="1:13">
      <c r="A43" s="56"/>
      <c r="B43" s="56"/>
    </row>
    <row r="44" spans="1:13">
      <c r="B44" s="57"/>
    </row>
    <row r="45" spans="1:13">
      <c r="A45" s="47"/>
      <c r="B45" s="72">
        <v>2019</v>
      </c>
      <c r="C45" s="72">
        <f>B45+1</f>
        <v>2020</v>
      </c>
      <c r="D45" s="72">
        <f t="shared" ref="D45" si="13">C45+1</f>
        <v>2021</v>
      </c>
      <c r="E45" s="72">
        <f t="shared" ref="E45" si="14">D45+1</f>
        <v>2022</v>
      </c>
      <c r="F45" s="72">
        <f t="shared" ref="F45" si="15">E45+1</f>
        <v>2023</v>
      </c>
      <c r="G45" s="72">
        <f t="shared" ref="G45" si="16">F45+1</f>
        <v>2024</v>
      </c>
      <c r="H45" s="72">
        <f>G45+1</f>
        <v>2025</v>
      </c>
      <c r="I45" s="72">
        <f t="shared" ref="I45" si="17">H45+1</f>
        <v>2026</v>
      </c>
      <c r="J45" s="72">
        <f t="shared" ref="J45" si="18">I45+1</f>
        <v>2027</v>
      </c>
      <c r="K45" s="72">
        <f t="shared" ref="K45" si="19">J45+1</f>
        <v>2028</v>
      </c>
      <c r="L45" s="73">
        <f t="shared" ref="L45" si="20">K45+1</f>
        <v>2029</v>
      </c>
    </row>
    <row r="46" spans="1:13" ht="16.5">
      <c r="A46" s="74" t="s">
        <v>95</v>
      </c>
      <c r="B46" s="61" t="s">
        <v>36</v>
      </c>
      <c r="C46" s="61" t="s">
        <v>35</v>
      </c>
      <c r="D46" s="61" t="s">
        <v>37</v>
      </c>
      <c r="E46" s="61" t="s">
        <v>38</v>
      </c>
      <c r="F46" s="61" t="s">
        <v>39</v>
      </c>
      <c r="G46" s="61" t="s">
        <v>40</v>
      </c>
      <c r="H46" s="61" t="s">
        <v>41</v>
      </c>
      <c r="I46" s="61" t="s">
        <v>42</v>
      </c>
      <c r="J46" s="61" t="s">
        <v>43</v>
      </c>
      <c r="K46" s="61" t="s">
        <v>44</v>
      </c>
      <c r="L46" s="62" t="s">
        <v>45</v>
      </c>
      <c r="M46" s="41"/>
    </row>
    <row r="47" spans="1:13">
      <c r="A47" s="48" t="s">
        <v>86</v>
      </c>
      <c r="B47" s="75">
        <v>7.0000000000000007E-2</v>
      </c>
      <c r="C47" s="55"/>
      <c r="D47" s="55"/>
      <c r="E47" s="55"/>
      <c r="F47" s="55"/>
      <c r="G47" s="55"/>
      <c r="H47" s="55"/>
      <c r="I47" s="55"/>
      <c r="J47" s="55"/>
      <c r="K47" s="55"/>
      <c r="L47" s="49"/>
    </row>
    <row r="48" spans="1:13">
      <c r="A48" s="48" t="s">
        <v>87</v>
      </c>
      <c r="B48" s="75">
        <v>0.03</v>
      </c>
      <c r="C48" s="55"/>
      <c r="D48" s="55"/>
      <c r="E48" s="55"/>
      <c r="F48" s="55"/>
      <c r="G48" s="55"/>
      <c r="H48" s="55"/>
      <c r="I48" s="55"/>
      <c r="J48" s="55"/>
      <c r="K48" s="55"/>
      <c r="L48" s="49"/>
    </row>
    <row r="49" spans="1:13">
      <c r="A49" s="48" t="s">
        <v>88</v>
      </c>
      <c r="B49" s="55"/>
      <c r="C49" s="55">
        <f>-B19*B47</f>
        <v>14000.000000000002</v>
      </c>
      <c r="D49" s="55">
        <f>+C49</f>
        <v>14000.000000000002</v>
      </c>
      <c r="E49" s="55">
        <f t="shared" ref="E49:I49" si="21">+D49</f>
        <v>14000.000000000002</v>
      </c>
      <c r="F49" s="55">
        <f t="shared" si="21"/>
        <v>14000.000000000002</v>
      </c>
      <c r="G49" s="55">
        <f t="shared" si="21"/>
        <v>14000.000000000002</v>
      </c>
      <c r="H49" s="55">
        <f t="shared" si="21"/>
        <v>14000.000000000002</v>
      </c>
      <c r="I49" s="55">
        <f t="shared" si="21"/>
        <v>14000.000000000002</v>
      </c>
      <c r="J49" s="55">
        <f>+H49/12*4</f>
        <v>4666.666666666667</v>
      </c>
      <c r="K49" s="55"/>
      <c r="L49" s="49"/>
      <c r="M49" s="83"/>
    </row>
    <row r="50" spans="1:13">
      <c r="A50" s="48" t="s">
        <v>89</v>
      </c>
      <c r="B50" s="55">
        <f>+NPV($B$48,C49:J49)</f>
        <v>90907.87113323329</v>
      </c>
      <c r="C50" s="55"/>
      <c r="D50" s="55"/>
      <c r="E50" s="55"/>
      <c r="F50" s="55"/>
      <c r="G50" s="55"/>
      <c r="H50" s="55"/>
      <c r="I50" s="55"/>
      <c r="J50" s="55"/>
      <c r="K50" s="55"/>
      <c r="L50" s="49"/>
    </row>
    <row r="51" spans="1:13">
      <c r="A51" s="48" t="s">
        <v>90</v>
      </c>
      <c r="B51" s="55"/>
      <c r="C51" s="55">
        <v>0</v>
      </c>
      <c r="D51" s="55">
        <v>0</v>
      </c>
      <c r="E51" s="55">
        <v>0</v>
      </c>
      <c r="F51" s="55">
        <v>0</v>
      </c>
      <c r="G51" s="55">
        <v>0</v>
      </c>
      <c r="H51" s="55">
        <v>0</v>
      </c>
      <c r="I51" s="55">
        <v>0</v>
      </c>
      <c r="J51" s="55">
        <f>+B6*B8*B10</f>
        <v>30000</v>
      </c>
      <c r="K51" s="55"/>
      <c r="L51" s="49"/>
    </row>
    <row r="52" spans="1:13">
      <c r="A52" s="48" t="s">
        <v>89</v>
      </c>
      <c r="B52" s="55">
        <f>+NPV($B$48,C51:J51)</f>
        <v>23682.277029418066</v>
      </c>
      <c r="C52" s="55"/>
      <c r="D52" s="55"/>
      <c r="E52" s="55"/>
      <c r="F52" s="55"/>
      <c r="G52" s="55"/>
      <c r="H52" s="55"/>
      <c r="I52" s="55"/>
      <c r="J52" s="55"/>
      <c r="K52" s="55"/>
      <c r="L52" s="49"/>
    </row>
    <row r="53" spans="1:13">
      <c r="A53" s="48" t="s">
        <v>91</v>
      </c>
      <c r="B53" s="55"/>
      <c r="C53" s="55">
        <v>0</v>
      </c>
      <c r="D53" s="55">
        <v>0</v>
      </c>
      <c r="E53" s="55">
        <v>0</v>
      </c>
      <c r="F53" s="55">
        <v>0</v>
      </c>
      <c r="G53" s="55">
        <v>0</v>
      </c>
      <c r="H53" s="55">
        <v>0</v>
      </c>
      <c r="I53" s="55">
        <v>0</v>
      </c>
      <c r="J53" s="55">
        <v>0</v>
      </c>
      <c r="K53" s="55">
        <v>0</v>
      </c>
      <c r="L53" s="49">
        <f>+(L35-B31)*B8</f>
        <v>168250</v>
      </c>
    </row>
    <row r="54" spans="1:13" ht="17.25">
      <c r="A54" s="48" t="s">
        <v>89</v>
      </c>
      <c r="B54" s="76">
        <f>+NPV($B$48,C53:L53)</f>
        <v>125193.80118137397</v>
      </c>
      <c r="C54" s="55"/>
      <c r="D54" s="55"/>
      <c r="E54" s="55"/>
      <c r="F54" s="55"/>
      <c r="G54" s="55"/>
      <c r="H54" s="55"/>
      <c r="I54" s="55"/>
      <c r="J54" s="55"/>
      <c r="K54" s="55"/>
      <c r="L54" s="49"/>
    </row>
    <row r="55" spans="1:13">
      <c r="A55" s="48" t="s">
        <v>92</v>
      </c>
      <c r="B55" s="55">
        <f>+SUM(B50:B54)</f>
        <v>239783.94934402534</v>
      </c>
      <c r="C55" s="55"/>
      <c r="D55" s="55"/>
      <c r="E55" s="55"/>
      <c r="F55" s="55"/>
      <c r="G55" s="55"/>
      <c r="H55" s="55"/>
      <c r="I55" s="55"/>
      <c r="J55" s="55"/>
      <c r="K55" s="55"/>
      <c r="L55" s="49"/>
    </row>
    <row r="56" spans="1:13">
      <c r="A56" s="48" t="s">
        <v>93</v>
      </c>
      <c r="B56" s="63">
        <f>+B55/B33</f>
        <v>0.23978394934402533</v>
      </c>
      <c r="C56" s="55"/>
      <c r="D56" s="55"/>
      <c r="E56" s="55"/>
      <c r="F56" s="55"/>
      <c r="G56" s="55"/>
      <c r="H56" s="55"/>
      <c r="I56" s="55"/>
      <c r="J56" s="55"/>
      <c r="K56" s="55"/>
      <c r="L56" s="49"/>
    </row>
    <row r="57" spans="1:13">
      <c r="A57" s="68" t="s">
        <v>94</v>
      </c>
      <c r="B57" s="77">
        <f>+B55/B20</f>
        <v>0.29972993668003167</v>
      </c>
      <c r="C57" s="69"/>
      <c r="D57" s="69"/>
      <c r="E57" s="69"/>
      <c r="F57" s="69"/>
      <c r="G57" s="69"/>
      <c r="H57" s="69"/>
      <c r="I57" s="69"/>
      <c r="J57" s="69"/>
      <c r="K57" s="69"/>
      <c r="L57" s="70"/>
    </row>
  </sheetData>
  <mergeCells count="10">
    <mergeCell ref="C31:G31"/>
    <mergeCell ref="C17:D17"/>
    <mergeCell ref="E17:F17"/>
    <mergeCell ref="G17:L17"/>
    <mergeCell ref="A1:L1"/>
    <mergeCell ref="A3:L3"/>
    <mergeCell ref="C30:G30"/>
    <mergeCell ref="H30:I30"/>
    <mergeCell ref="J6:K6"/>
    <mergeCell ref="J5:L5"/>
  </mergeCells>
  <pageMargins left="0" right="0" top="0.75" bottom="0.5" header="0.3" footer="0.3"/>
  <pageSetup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Mark</vt:lpstr>
      <vt:lpstr>Assumptions and Instructions</vt:lpstr>
      <vt:lpstr>Investment Analysis</vt:lpstr>
      <vt:lpstr>State Capital Gains Tax Rates</vt:lpstr>
      <vt:lpstr>KAS Version</vt:lpstr>
      <vt:lpstr>'Assumptions and Instructions'!Print_Area</vt:lpstr>
      <vt:lpstr>'Investment Analysis'!Print_Area</vt:lpstr>
      <vt:lpstr>'KAS Version'!Print_Area</vt:lpstr>
      <vt:lpstr>'State Capital Gains Tax Rates'!Print_Area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Goldberg</dc:creator>
  <cp:lastModifiedBy>Scott Street</cp:lastModifiedBy>
  <cp:lastPrinted>2020-11-23T16:57:41Z</cp:lastPrinted>
  <dcterms:created xsi:type="dcterms:W3CDTF">2019-01-16T21:11:38Z</dcterms:created>
  <dcterms:modified xsi:type="dcterms:W3CDTF">2024-09-09T21:06:17Z</dcterms:modified>
</cp:coreProperties>
</file>